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l\OneDrive\Daily Logs\"/>
    </mc:Choice>
  </mc:AlternateContent>
  <xr:revisionPtr revIDLastSave="0" documentId="8_{D37721A6-F3A2-448E-9559-21EEEBCF2415}" xr6:coauthVersionLast="47" xr6:coauthVersionMax="47" xr10:uidLastSave="{00000000-0000-0000-0000-000000000000}"/>
  <bookViews>
    <workbookView xWindow="15555" yWindow="15" windowWidth="13095" windowHeight="15585" firstSheet="1" activeTab="2" xr2:uid="{AC5AC46D-424C-4AE9-9F04-CB634E1B6F4E}"/>
  </bookViews>
  <sheets>
    <sheet name="Uniform Distribution" sheetId="1" r:id="rId1"/>
    <sheet name="Exponential Distribution" sheetId="2" r:id="rId2"/>
    <sheet name="Normal Prob Dist Mean" sheetId="3" r:id="rId3"/>
    <sheet name="Normal Prob Dist Proportion" sheetId="4" r:id="rId4"/>
    <sheet name="Confidence Interval - Prop." sheetId="5" r:id="rId5"/>
    <sheet name="Sample Size - Means" sheetId="6" r:id="rId6"/>
    <sheet name="Normal Prob Mean - Data" sheetId="8" r:id="rId7"/>
    <sheet name="Sample Size - Proportion" sheetId="7" r:id="rId8"/>
    <sheet name="Sampling Error - Mean" sheetId="9" r:id="rId9"/>
    <sheet name="Sampling Error - Proportion" sheetId="10" r:id="rId10"/>
    <sheet name="scratch pad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B6" i="10"/>
  <c r="B7" i="10" s="1"/>
  <c r="B3" i="10"/>
  <c r="E4" i="9"/>
  <c r="E5" i="9" s="1"/>
  <c r="E3" i="9"/>
  <c r="B4" i="7"/>
  <c r="B5" i="7" s="1"/>
  <c r="C5" i="7" s="1"/>
  <c r="F16" i="8"/>
  <c r="F15" i="8"/>
  <c r="D8" i="8"/>
  <c r="D11" i="8" s="1"/>
  <c r="D20" i="8"/>
  <c r="D19" i="8"/>
  <c r="D18" i="8"/>
  <c r="D17" i="8"/>
  <c r="D15" i="8"/>
  <c r="D21" i="8"/>
  <c r="D22" i="8" s="1"/>
  <c r="D2" i="8"/>
  <c r="D1" i="8"/>
  <c r="D4" i="8" s="1"/>
  <c r="B3" i="6"/>
  <c r="B5" i="6" s="1"/>
  <c r="C5" i="6" s="1"/>
  <c r="B6" i="5"/>
  <c r="B3" i="5"/>
  <c r="D13" i="4"/>
  <c r="B13" i="4"/>
  <c r="E7" i="4"/>
  <c r="B7" i="4"/>
  <c r="E6" i="4"/>
  <c r="D8" i="4" s="1"/>
  <c r="B3" i="4"/>
  <c r="B4" i="4" s="1"/>
  <c r="D2" i="4"/>
  <c r="B21" i="3"/>
  <c r="B22" i="3" s="1"/>
  <c r="B20" i="3"/>
  <c r="B19" i="3"/>
  <c r="B18" i="3"/>
  <c r="B17" i="3"/>
  <c r="D16" i="3"/>
  <c r="D15" i="3"/>
  <c r="B15" i="3"/>
  <c r="B8" i="3"/>
  <c r="B10" i="3" s="1"/>
  <c r="B4" i="3"/>
  <c r="B1" i="2"/>
  <c r="C10" i="2"/>
  <c r="C12" i="2"/>
  <c r="C19" i="2"/>
  <c r="C20" i="2"/>
  <c r="C26" i="2"/>
  <c r="C27" i="2"/>
  <c r="C28" i="2"/>
  <c r="C35" i="2"/>
  <c r="C36" i="2"/>
  <c r="C43" i="2"/>
  <c r="C44" i="2"/>
  <c r="C50" i="2"/>
  <c r="C51" i="2"/>
  <c r="B51" i="2"/>
  <c r="B47" i="2"/>
  <c r="C47" i="2" s="1"/>
  <c r="B46" i="2"/>
  <c r="C46" i="2" s="1"/>
  <c r="B45" i="2"/>
  <c r="C45" i="2" s="1"/>
  <c r="B44" i="2"/>
  <c r="B43" i="2"/>
  <c r="B42" i="2"/>
  <c r="C42" i="2" s="1"/>
  <c r="B41" i="2"/>
  <c r="C41" i="2" s="1"/>
  <c r="B40" i="2"/>
  <c r="C40" i="2" s="1"/>
  <c r="B39" i="2"/>
  <c r="C39" i="2" s="1"/>
  <c r="B38" i="2"/>
  <c r="C38" i="2" s="1"/>
  <c r="B37" i="2"/>
  <c r="C37" i="2" s="1"/>
  <c r="B36" i="2"/>
  <c r="B35" i="2"/>
  <c r="B32" i="2"/>
  <c r="C32" i="2" s="1"/>
  <c r="B31" i="2"/>
  <c r="C31" i="2" s="1"/>
  <c r="B30" i="2"/>
  <c r="C30" i="2" s="1"/>
  <c r="B29" i="2"/>
  <c r="C29" i="2" s="1"/>
  <c r="B28" i="2"/>
  <c r="B27" i="2"/>
  <c r="B26" i="2"/>
  <c r="B25" i="2"/>
  <c r="C25" i="2" s="1"/>
  <c r="B24" i="2"/>
  <c r="C24" i="2" s="1"/>
  <c r="B23" i="2"/>
  <c r="C23" i="2" s="1"/>
  <c r="B22" i="2"/>
  <c r="C22" i="2" s="1"/>
  <c r="B21" i="2"/>
  <c r="C21" i="2" s="1"/>
  <c r="B20" i="2"/>
  <c r="B19" i="2"/>
  <c r="B16" i="2"/>
  <c r="C16" i="2" s="1"/>
  <c r="B15" i="2"/>
  <c r="C15" i="2" s="1"/>
  <c r="B14" i="2"/>
  <c r="C14" i="2" s="1"/>
  <c r="B13" i="2"/>
  <c r="C13" i="2" s="1"/>
  <c r="B12" i="2"/>
  <c r="B11" i="2"/>
  <c r="C11" i="2" s="1"/>
  <c r="B10" i="2"/>
  <c r="B9" i="2"/>
  <c r="C9" i="2" s="1"/>
  <c r="B8" i="2"/>
  <c r="C8" i="2" s="1"/>
  <c r="B7" i="2"/>
  <c r="C7" i="2" s="1"/>
  <c r="B6" i="2"/>
  <c r="C6" i="2" s="1"/>
  <c r="B3" i="2"/>
  <c r="E2" i="2"/>
  <c r="D2" i="2"/>
  <c r="B50" i="2"/>
  <c r="B11" i="1"/>
  <c r="A11" i="1"/>
  <c r="A10" i="1"/>
  <c r="B9" i="1"/>
  <c r="B10" i="1" s="1"/>
  <c r="A9" i="1"/>
  <c r="C7" i="1"/>
  <c r="B5" i="1"/>
  <c r="B4" i="1"/>
  <c r="B3" i="1"/>
  <c r="E2" i="1"/>
  <c r="D2" i="1"/>
  <c r="D9" i="8" l="1"/>
  <c r="D10" i="8"/>
  <c r="B5" i="5"/>
  <c r="B7" i="5" s="1"/>
  <c r="B11" i="4"/>
  <c r="B6" i="4"/>
  <c r="B14" i="4"/>
  <c r="B9" i="4"/>
  <c r="B10" i="4" s="1"/>
  <c r="B16" i="3"/>
  <c r="E2" i="3" s="1"/>
  <c r="B11" i="3"/>
  <c r="B9" i="3"/>
  <c r="B48" i="2"/>
  <c r="C48" i="2" s="1"/>
  <c r="B49" i="2"/>
  <c r="C49" i="2" s="1"/>
  <c r="B17" i="2"/>
  <c r="C17" i="2" s="1"/>
  <c r="B33" i="2"/>
  <c r="C33" i="2" s="1"/>
  <c r="B2" i="2"/>
  <c r="B18" i="2"/>
  <c r="C18" i="2" s="1"/>
  <c r="B34" i="2"/>
  <c r="C34" i="2" s="1"/>
  <c r="D16" i="8" l="1"/>
  <c r="B9" i="5"/>
  <c r="B8" i="5"/>
  <c r="B17" i="4"/>
  <c r="B16" i="4"/>
  <c r="B15" i="4"/>
  <c r="E2" i="4"/>
  <c r="B23" i="3"/>
  <c r="D23" i="8" l="1"/>
  <c r="G2" i="8"/>
  <c r="E19" i="3"/>
  <c r="E18" i="3"/>
  <c r="G18" i="8" l="1"/>
  <c r="G19" i="8"/>
</calcChain>
</file>

<file path=xl/sharedStrings.xml><?xml version="1.0" encoding="utf-8"?>
<sst xmlns="http://schemas.openxmlformats.org/spreadsheetml/2006/main" count="106" uniqueCount="66">
  <si>
    <t>a</t>
  </si>
  <si>
    <t>Percentile</t>
  </si>
  <si>
    <t>b</t>
  </si>
  <si>
    <t>f(x) =</t>
  </si>
  <si>
    <t>E(x) =</t>
  </si>
  <si>
    <t>Std Dev =</t>
  </si>
  <si>
    <t>c</t>
  </si>
  <si>
    <t>d</t>
  </si>
  <si>
    <t xml:space="preserve">f </t>
  </si>
  <si>
    <t>m</t>
  </si>
  <si>
    <t>E(x)</t>
  </si>
  <si>
    <t>Std Dev</t>
  </si>
  <si>
    <t>x</t>
  </si>
  <si>
    <t>P(X&lt;x)</t>
  </si>
  <si>
    <t>P(X &gt; x)</t>
  </si>
  <si>
    <t>Mean</t>
  </si>
  <si>
    <t>Percentile for x</t>
  </si>
  <si>
    <t>Std Dev 𝝈</t>
  </si>
  <si>
    <t>X</t>
  </si>
  <si>
    <t xml:space="preserve">Z </t>
  </si>
  <si>
    <t>Percentile for mean</t>
  </si>
  <si>
    <t>Percentile for sample mean</t>
  </si>
  <si>
    <t>n</t>
  </si>
  <si>
    <t>N</t>
  </si>
  <si>
    <t>Confidence Level</t>
  </si>
  <si>
    <t>Population Standard deviation</t>
  </si>
  <si>
    <t>No</t>
  </si>
  <si>
    <t>Correction Factor</t>
  </si>
  <si>
    <t>Confidence Interval</t>
  </si>
  <si>
    <t>Lower Limit</t>
  </si>
  <si>
    <t>Upper Limit</t>
  </si>
  <si>
    <t>Z(𝛼)</t>
  </si>
  <si>
    <t>df</t>
  </si>
  <si>
    <t>t(𝛼, df)</t>
  </si>
  <si>
    <t>ERB</t>
  </si>
  <si>
    <t>Proportion</t>
  </si>
  <si>
    <t>Sample Size n</t>
  </si>
  <si>
    <t>Expected Value 𝝁</t>
  </si>
  <si>
    <t>Test for Central Limit Theorem</t>
  </si>
  <si>
    <t>np</t>
  </si>
  <si>
    <t>n(1 - p)</t>
  </si>
  <si>
    <t xml:space="preserve">  </t>
  </si>
  <si>
    <t>Population Size N</t>
  </si>
  <si>
    <t>New standard dev w/CF</t>
  </si>
  <si>
    <t>Standard Error</t>
  </si>
  <si>
    <t>Z score</t>
  </si>
  <si>
    <t>Upper Limit'</t>
  </si>
  <si>
    <t>Population Std dev</t>
  </si>
  <si>
    <t>Z Score</t>
  </si>
  <si>
    <t>ERB or MOE</t>
  </si>
  <si>
    <t>Data</t>
  </si>
  <si>
    <t>CL</t>
  </si>
  <si>
    <t>p</t>
  </si>
  <si>
    <t>Data Population</t>
  </si>
  <si>
    <t xml:space="preserve">Data Sample </t>
  </si>
  <si>
    <t>Population Mean</t>
  </si>
  <si>
    <t>=AVERAGE(A2:A301)</t>
  </si>
  <si>
    <t>Sample Mean</t>
  </si>
  <si>
    <t>=AVERAGE(B2:B144)</t>
  </si>
  <si>
    <t>Sampling Error</t>
  </si>
  <si>
    <t>=Sample Mean - Population Mean</t>
  </si>
  <si>
    <t>population X</t>
  </si>
  <si>
    <t xml:space="preserve">population N </t>
  </si>
  <si>
    <t>p = X/N</t>
  </si>
  <si>
    <t>sample x</t>
  </si>
  <si>
    <t>sample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</si>
</sst>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0" borderId="0" xfId="0" applyProtection="1">
      <protection locked="0"/>
    </xf>
    <xf numFmtId="164" fontId="0" fillId="3" borderId="1" xfId="0" applyNumberFormat="1" applyFill="1" applyBorder="1"/>
    <xf numFmtId="0" fontId="1" fillId="0" borderId="0" xfId="0" applyFont="1"/>
    <xf numFmtId="0" fontId="0" fillId="2" borderId="2" xfId="0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1" fillId="3" borderId="0" xfId="0" applyFont="1" applyFill="1"/>
    <xf numFmtId="0" fontId="0" fillId="0" borderId="0" xfId="0" quotePrefix="1"/>
  </cellXfs>
  <cellStyles count="1">
    <cellStyle name="Normal" xfId="0" builtinId="0"/>
  </cellStyles>
  <dxfs count="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24063</xdr:colOff>
      <xdr:row>7</xdr:row>
      <xdr:rowOff>7352</xdr:rowOff>
    </xdr:from>
    <xdr:ext cx="1087798" cy="17767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46D4EA5-1784-445E-BAE7-98B56B1001D2}"/>
                </a:ext>
              </a:extLst>
            </xdr:cNvPr>
            <xdr:cNvSpPr txBox="1"/>
          </xdr:nvSpPr>
          <xdr:spPr>
            <a:xfrm>
              <a:off x="24063" y="1912352"/>
              <a:ext cx="1087798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𝑠𝑡𝑑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𝑒𝑟𝑟𝑜𝑟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n-US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𝜎</m:t>
                  </m:r>
                </m:oMath>
              </a14:m>
              <a:r>
                <a:rPr lang="en-US" sz="1100"/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46D4EA5-1784-445E-BAE7-98B56B1001D2}"/>
                </a:ext>
              </a:extLst>
            </xdr:cNvPr>
            <xdr:cNvSpPr txBox="1"/>
          </xdr:nvSpPr>
          <xdr:spPr>
            <a:xfrm>
              <a:off x="24063" y="1912352"/>
              <a:ext cx="1087798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𝑠𝑡𝑑 𝑒𝑟𝑟𝑜𝑟=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n-US" sz="1100"/>
                <a:t>/</a:t>
              </a:r>
              <a:r>
                <a:rPr lang="en-US" sz="1100" i="0">
                  <a:latin typeface="Cambria Math" panose="02040503050406030204" pitchFamily="18" charset="0"/>
                </a:rPr>
                <a:t>√</a:t>
              </a:r>
              <a:r>
                <a:rPr lang="en-US" sz="1100" b="0" i="0">
                  <a:latin typeface="Cambria Math" panose="02040503050406030204" pitchFamily="18" charset="0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24063</xdr:colOff>
      <xdr:row>8</xdr:row>
      <xdr:rowOff>14036</xdr:rowOff>
    </xdr:from>
    <xdr:ext cx="5853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F2C43AD-77C5-43DA-BCC0-CDAAFF6654EF}"/>
                </a:ext>
              </a:extLst>
            </xdr:cNvPr>
            <xdr:cNvSpPr txBox="1"/>
          </xdr:nvSpPr>
          <xdr:spPr>
            <a:xfrm>
              <a:off x="24063" y="2109536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&gt;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F2C43AD-77C5-43DA-BCC0-CDAAFF6654EF}"/>
                </a:ext>
              </a:extLst>
            </xdr:cNvPr>
            <xdr:cNvSpPr txBox="1"/>
          </xdr:nvSpPr>
          <xdr:spPr>
            <a:xfrm>
              <a:off x="24063" y="2109536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𝑃(𝑥 ̅&gt;𝑎)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17379</xdr:colOff>
      <xdr:row>9</xdr:row>
      <xdr:rowOff>14037</xdr:rowOff>
    </xdr:from>
    <xdr:ext cx="5853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9D0A68B-F3FB-4377-BBA6-BC7C18C8F6A8}"/>
                </a:ext>
              </a:extLst>
            </xdr:cNvPr>
            <xdr:cNvSpPr txBox="1"/>
          </xdr:nvSpPr>
          <xdr:spPr>
            <a:xfrm>
              <a:off x="17379" y="2300037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9D0A68B-F3FB-4377-BBA6-BC7C18C8F6A8}"/>
                </a:ext>
              </a:extLst>
            </xdr:cNvPr>
            <xdr:cNvSpPr txBox="1"/>
          </xdr:nvSpPr>
          <xdr:spPr>
            <a:xfrm>
              <a:off x="17379" y="2300037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𝑃(𝑥 ̅&lt;𝑎)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10</xdr:row>
      <xdr:rowOff>14036</xdr:rowOff>
    </xdr:from>
    <xdr:ext cx="848502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724E3B14-1EE2-4360-A089-65004578DF44}"/>
                </a:ext>
              </a:extLst>
            </xdr:cNvPr>
            <xdr:cNvSpPr txBox="1"/>
          </xdr:nvSpPr>
          <xdr:spPr>
            <a:xfrm>
              <a:off x="0" y="2490536"/>
              <a:ext cx="8485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𝑏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724E3B14-1EE2-4360-A089-65004578DF44}"/>
                </a:ext>
              </a:extLst>
            </xdr:cNvPr>
            <xdr:cNvSpPr txBox="1"/>
          </xdr:nvSpPr>
          <xdr:spPr>
            <a:xfrm>
              <a:off x="0" y="2490536"/>
              <a:ext cx="8485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𝑃(𝑎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≤𝑥 ̅≤𝑏)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16</xdr:row>
      <xdr:rowOff>0</xdr:rowOff>
    </xdr:from>
    <xdr:ext cx="702115" cy="1831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79C6B683-FEF8-4A4B-A5B0-6C368358A6DA}"/>
                </a:ext>
              </a:extLst>
            </xdr:cNvPr>
            <xdr:cNvSpPr txBox="1"/>
          </xdr:nvSpPr>
          <xdr:spPr>
            <a:xfrm>
              <a:off x="0" y="3619500"/>
              <a:ext cx="70211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𝑐𝑓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&gt;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79C6B683-FEF8-4A4B-A5B0-6C368358A6DA}"/>
                </a:ext>
              </a:extLst>
            </xdr:cNvPr>
            <xdr:cNvSpPr txBox="1"/>
          </xdr:nvSpPr>
          <xdr:spPr>
            <a:xfrm>
              <a:off x="0" y="3619500"/>
              <a:ext cx="70211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𝑃(𝑥 ̅_𝑐𝑓&gt;𝑎)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17</xdr:row>
      <xdr:rowOff>0</xdr:rowOff>
    </xdr:from>
    <xdr:ext cx="702115" cy="1831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BF5D9FC8-2F0F-4927-B258-350BC715BC03}"/>
                </a:ext>
              </a:extLst>
            </xdr:cNvPr>
            <xdr:cNvSpPr txBox="1"/>
          </xdr:nvSpPr>
          <xdr:spPr>
            <a:xfrm>
              <a:off x="0" y="3810000"/>
              <a:ext cx="70211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𝑐𝑓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BF5D9FC8-2F0F-4927-B258-350BC715BC03}"/>
                </a:ext>
              </a:extLst>
            </xdr:cNvPr>
            <xdr:cNvSpPr txBox="1"/>
          </xdr:nvSpPr>
          <xdr:spPr>
            <a:xfrm>
              <a:off x="0" y="3810000"/>
              <a:ext cx="70211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𝑃(𝑥 ̅_𝑐𝑓&lt;𝑎)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8467</xdr:colOff>
      <xdr:row>18</xdr:row>
      <xdr:rowOff>16933</xdr:rowOff>
    </xdr:from>
    <xdr:ext cx="1027333" cy="1831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41310C3-D598-44B1-884B-7965EF618E26}"/>
                </a:ext>
              </a:extLst>
            </xdr:cNvPr>
            <xdr:cNvSpPr txBox="1"/>
          </xdr:nvSpPr>
          <xdr:spPr>
            <a:xfrm>
              <a:off x="8467" y="4017433"/>
              <a:ext cx="1027333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&lt; 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𝑐𝑓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 &lt;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D41310C3-D598-44B1-884B-7965EF618E26}"/>
                </a:ext>
              </a:extLst>
            </xdr:cNvPr>
            <xdr:cNvSpPr txBox="1"/>
          </xdr:nvSpPr>
          <xdr:spPr>
            <a:xfrm>
              <a:off x="8467" y="4017433"/>
              <a:ext cx="1027333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𝑃(𝑎&lt; 𝑥 ̅_𝑐𝑓  &lt;𝑏)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15</xdr:row>
      <xdr:rowOff>0</xdr:rowOff>
    </xdr:from>
    <xdr:ext cx="1294713" cy="17767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7549DC9-7A9A-42CA-B059-9F3D8AE8405C}"/>
                </a:ext>
              </a:extLst>
            </xdr:cNvPr>
            <xdr:cNvSpPr txBox="1"/>
          </xdr:nvSpPr>
          <xdr:spPr>
            <a:xfrm>
              <a:off x="0" y="3429000"/>
              <a:ext cx="1294713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𝐶𝐹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𝑠𝑡𝑑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𝑒𝑟𝑟𝑜𝑟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n-US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𝜎</m:t>
                  </m:r>
                </m:oMath>
              </a14:m>
              <a:r>
                <a:rPr lang="en-US" sz="1100"/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97549DC9-7A9A-42CA-B059-9F3D8AE8405C}"/>
                </a:ext>
              </a:extLst>
            </xdr:cNvPr>
            <xdr:cNvSpPr txBox="1"/>
          </xdr:nvSpPr>
          <xdr:spPr>
            <a:xfrm>
              <a:off x="0" y="3429000"/>
              <a:ext cx="1294713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𝐶𝐹 𝑠𝑡𝑑 𝑒𝑟𝑟𝑜𝑟=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n-US" sz="1100"/>
                <a:t>/</a:t>
              </a:r>
              <a:r>
                <a:rPr lang="en-US" sz="1100" i="0">
                  <a:latin typeface="Cambria Math" panose="02040503050406030204" pitchFamily="18" charset="0"/>
                </a:rPr>
                <a:t>√</a:t>
              </a:r>
              <a:r>
                <a:rPr lang="en-US" sz="1100" b="0" i="0">
                  <a:latin typeface="Cambria Math" panose="02040503050406030204" pitchFamily="18" charset="0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</xdr:colOff>
      <xdr:row>14</xdr:row>
      <xdr:rowOff>16933</xdr:rowOff>
    </xdr:from>
    <xdr:ext cx="689356" cy="1831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0C1FA07-AADE-4ABA-BB00-1F796073D3D3}"/>
                </a:ext>
              </a:extLst>
            </xdr:cNvPr>
            <xdr:cNvSpPr txBox="1"/>
          </xdr:nvSpPr>
          <xdr:spPr>
            <a:xfrm>
              <a:off x="8466" y="2683933"/>
              <a:ext cx="689356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𝑐𝑓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&gt;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a</m:t>
                    </m:r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0C1FA07-AADE-4ABA-BB00-1F796073D3D3}"/>
                </a:ext>
              </a:extLst>
            </xdr:cNvPr>
            <xdr:cNvSpPr txBox="1"/>
          </xdr:nvSpPr>
          <xdr:spPr>
            <a:xfrm>
              <a:off x="8466" y="2683933"/>
              <a:ext cx="689356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𝑃(𝑝 ̂_𝑐𝑓&gt;a)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15</xdr:row>
      <xdr:rowOff>25400</xdr:rowOff>
    </xdr:from>
    <xdr:ext cx="689356" cy="1831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F7EA355-04CE-4A4B-8002-2F7D89931A37}"/>
                </a:ext>
              </a:extLst>
            </xdr:cNvPr>
            <xdr:cNvSpPr txBox="1"/>
          </xdr:nvSpPr>
          <xdr:spPr>
            <a:xfrm>
              <a:off x="0" y="2882900"/>
              <a:ext cx="689356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𝑐𝑓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a</m:t>
                    </m:r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F7EA355-04CE-4A4B-8002-2F7D89931A37}"/>
                </a:ext>
              </a:extLst>
            </xdr:cNvPr>
            <xdr:cNvSpPr txBox="1"/>
          </xdr:nvSpPr>
          <xdr:spPr>
            <a:xfrm>
              <a:off x="0" y="2882900"/>
              <a:ext cx="689356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𝑃(𝑝 ̂_𝑐𝑓&lt;a)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16</xdr:row>
      <xdr:rowOff>33866</xdr:rowOff>
    </xdr:from>
    <xdr:ext cx="963790" cy="1831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C2ED2297-78E8-4D37-A5AF-9247C589C9D7}"/>
                </a:ext>
              </a:extLst>
            </xdr:cNvPr>
            <xdr:cNvSpPr txBox="1"/>
          </xdr:nvSpPr>
          <xdr:spPr>
            <a:xfrm>
              <a:off x="0" y="3081866"/>
              <a:ext cx="963790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̂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𝑝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𝑐𝑓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&lt;</m:t>
                    </m:r>
                    <m:r>
                      <m:rPr>
                        <m:sty m:val="p"/>
                      </m:rPr>
                      <a:rPr lang="en-US" sz="1100" b="0" i="0">
                        <a:latin typeface="Cambria Math" panose="02040503050406030204" pitchFamily="18" charset="0"/>
                      </a:rPr>
                      <m:t>b</m:t>
                    </m:r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C2ED2297-78E8-4D37-A5AF-9247C589C9D7}"/>
                </a:ext>
              </a:extLst>
            </xdr:cNvPr>
            <xdr:cNvSpPr txBox="1"/>
          </xdr:nvSpPr>
          <xdr:spPr>
            <a:xfrm>
              <a:off x="0" y="3081866"/>
              <a:ext cx="963790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𝑃(𝑎&lt;𝑝 ̂_𝑐𝑓&lt;b)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33866</xdr:colOff>
      <xdr:row>8</xdr:row>
      <xdr:rowOff>8466</xdr:rowOff>
    </xdr:from>
    <xdr:ext cx="586379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8FE22E72-55BD-499F-8F5D-6612ADB88091}"/>
                </a:ext>
              </a:extLst>
            </xdr:cNvPr>
            <xdr:cNvSpPr txBox="1"/>
          </xdr:nvSpPr>
          <xdr:spPr>
            <a:xfrm>
              <a:off x="33866" y="1532466"/>
              <a:ext cx="58637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acc>
                      <m:accPr>
                        <m:chr m:val="̂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&gt;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8FE22E72-55BD-499F-8F5D-6612ADB88091}"/>
                </a:ext>
              </a:extLst>
            </xdr:cNvPr>
            <xdr:cNvSpPr txBox="1"/>
          </xdr:nvSpPr>
          <xdr:spPr>
            <a:xfrm>
              <a:off x="33866" y="1532466"/>
              <a:ext cx="58637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𝑃(𝑝 ̂&gt;𝑎)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9</xdr:row>
      <xdr:rowOff>16933</xdr:rowOff>
    </xdr:from>
    <xdr:ext cx="586379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985551E4-1880-435F-8078-A8450715FE35}"/>
                </a:ext>
              </a:extLst>
            </xdr:cNvPr>
            <xdr:cNvSpPr txBox="1"/>
          </xdr:nvSpPr>
          <xdr:spPr>
            <a:xfrm>
              <a:off x="0" y="1731433"/>
              <a:ext cx="58637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acc>
                      <m:accPr>
                        <m:chr m:val="̂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985551E4-1880-435F-8078-A8450715FE35}"/>
                </a:ext>
              </a:extLst>
            </xdr:cNvPr>
            <xdr:cNvSpPr txBox="1"/>
          </xdr:nvSpPr>
          <xdr:spPr>
            <a:xfrm>
              <a:off x="0" y="1731433"/>
              <a:ext cx="58637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𝑃(𝑝 ̂&lt;𝑎)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10</xdr:row>
      <xdr:rowOff>8467</xdr:rowOff>
    </xdr:from>
    <xdr:ext cx="849527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AF41E85-B1CF-433D-85FD-C429473025C3}"/>
                </a:ext>
              </a:extLst>
            </xdr:cNvPr>
            <xdr:cNvSpPr txBox="1"/>
          </xdr:nvSpPr>
          <xdr:spPr>
            <a:xfrm>
              <a:off x="0" y="1913467"/>
              <a:ext cx="84952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acc>
                      <m:accPr>
                        <m:chr m:val="̂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AF41E85-B1CF-433D-85FD-C429473025C3}"/>
                </a:ext>
              </a:extLst>
            </xdr:cNvPr>
            <xdr:cNvSpPr txBox="1"/>
          </xdr:nvSpPr>
          <xdr:spPr>
            <a:xfrm>
              <a:off x="0" y="1913467"/>
              <a:ext cx="84952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𝑃(𝑎&lt;𝑝 ̂&lt;𝑏)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59267</xdr:colOff>
      <xdr:row>4</xdr:row>
      <xdr:rowOff>16934</xdr:rowOff>
    </xdr:from>
    <xdr:ext cx="112274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A86812F-2041-4572-8AC8-518E5F7D347F}"/>
                </a:ext>
              </a:extLst>
            </xdr:cNvPr>
            <xdr:cNvSpPr txBox="1"/>
          </xdr:nvSpPr>
          <xdr:spPr>
            <a:xfrm>
              <a:off x="59267" y="778934"/>
              <a:ext cx="11227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A86812F-2041-4572-8AC8-518E5F7D347F}"/>
                </a:ext>
              </a:extLst>
            </xdr:cNvPr>
            <xdr:cNvSpPr txBox="1"/>
          </xdr:nvSpPr>
          <xdr:spPr>
            <a:xfrm>
              <a:off x="59267" y="778934"/>
              <a:ext cx="11227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𝑝 ̂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26610</xdr:colOff>
      <xdr:row>2</xdr:row>
      <xdr:rowOff>5441</xdr:rowOff>
    </xdr:from>
    <xdr:ext cx="112274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E7F2F9F-228D-447C-A5E6-31306F102BE3}"/>
                </a:ext>
              </a:extLst>
            </xdr:cNvPr>
            <xdr:cNvSpPr txBox="1"/>
          </xdr:nvSpPr>
          <xdr:spPr>
            <a:xfrm>
              <a:off x="26610" y="386441"/>
              <a:ext cx="11227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acc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E7F2F9F-228D-447C-A5E6-31306F102BE3}"/>
                </a:ext>
              </a:extLst>
            </xdr:cNvPr>
            <xdr:cNvSpPr txBox="1"/>
          </xdr:nvSpPr>
          <xdr:spPr>
            <a:xfrm>
              <a:off x="26610" y="386441"/>
              <a:ext cx="11227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𝑝 ̂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24063</xdr:colOff>
      <xdr:row>7</xdr:row>
      <xdr:rowOff>7352</xdr:rowOff>
    </xdr:from>
    <xdr:ext cx="1087798" cy="17767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DB6DEA9-8A44-4249-BBCF-B8E68C6A6253}"/>
                </a:ext>
              </a:extLst>
            </xdr:cNvPr>
            <xdr:cNvSpPr txBox="1"/>
          </xdr:nvSpPr>
          <xdr:spPr>
            <a:xfrm>
              <a:off x="1548063" y="1912352"/>
              <a:ext cx="1087798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𝑠𝑡𝑑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𝑒𝑟𝑟𝑜𝑟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n-US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𝜎</m:t>
                  </m:r>
                </m:oMath>
              </a14:m>
              <a:r>
                <a:rPr lang="en-US" sz="1100"/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DB6DEA9-8A44-4249-BBCF-B8E68C6A6253}"/>
                </a:ext>
              </a:extLst>
            </xdr:cNvPr>
            <xdr:cNvSpPr txBox="1"/>
          </xdr:nvSpPr>
          <xdr:spPr>
            <a:xfrm>
              <a:off x="1548063" y="1912352"/>
              <a:ext cx="1087798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𝑠𝑡𝑑 𝑒𝑟𝑟𝑜𝑟=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n-US" sz="1100"/>
                <a:t>/</a:t>
              </a:r>
              <a:r>
                <a:rPr lang="en-US" sz="1100" i="0">
                  <a:latin typeface="Cambria Math" panose="02040503050406030204" pitchFamily="18" charset="0"/>
                </a:rPr>
                <a:t>√</a:t>
              </a:r>
              <a:r>
                <a:rPr lang="en-US" sz="1100" b="0" i="0">
                  <a:latin typeface="Cambria Math" panose="02040503050406030204" pitchFamily="18" charset="0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24063</xdr:colOff>
      <xdr:row>8</xdr:row>
      <xdr:rowOff>14036</xdr:rowOff>
    </xdr:from>
    <xdr:ext cx="5853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54B8145-41AA-4DD9-BEB6-1047655C3992}"/>
                </a:ext>
              </a:extLst>
            </xdr:cNvPr>
            <xdr:cNvSpPr txBox="1"/>
          </xdr:nvSpPr>
          <xdr:spPr>
            <a:xfrm>
              <a:off x="1548063" y="2109536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&gt;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54B8145-41AA-4DD9-BEB6-1047655C3992}"/>
                </a:ext>
              </a:extLst>
            </xdr:cNvPr>
            <xdr:cNvSpPr txBox="1"/>
          </xdr:nvSpPr>
          <xdr:spPr>
            <a:xfrm>
              <a:off x="1548063" y="2109536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𝑃(𝑥 ̅&gt;𝑎)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17379</xdr:colOff>
      <xdr:row>9</xdr:row>
      <xdr:rowOff>14037</xdr:rowOff>
    </xdr:from>
    <xdr:ext cx="585353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658350C-005A-4E88-BB57-AFDCF38BF9FE}"/>
                </a:ext>
              </a:extLst>
            </xdr:cNvPr>
            <xdr:cNvSpPr txBox="1"/>
          </xdr:nvSpPr>
          <xdr:spPr>
            <a:xfrm>
              <a:off x="1541379" y="2300037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658350C-005A-4E88-BB57-AFDCF38BF9FE}"/>
                </a:ext>
              </a:extLst>
            </xdr:cNvPr>
            <xdr:cNvSpPr txBox="1"/>
          </xdr:nvSpPr>
          <xdr:spPr>
            <a:xfrm>
              <a:off x="1541379" y="2300037"/>
              <a:ext cx="5853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𝑃(𝑥 ̅&lt;𝑎)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10</xdr:row>
      <xdr:rowOff>14036</xdr:rowOff>
    </xdr:from>
    <xdr:ext cx="848502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5ACF670-151F-4007-A248-4C0E6C03B21D}"/>
                </a:ext>
              </a:extLst>
            </xdr:cNvPr>
            <xdr:cNvSpPr txBox="1"/>
          </xdr:nvSpPr>
          <xdr:spPr>
            <a:xfrm>
              <a:off x="1524000" y="2490536"/>
              <a:ext cx="8485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acc>
                      <m:accPr>
                        <m:chr m:val="̅"/>
                        <m:ctrlP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𝑏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15ACF670-151F-4007-A248-4C0E6C03B21D}"/>
                </a:ext>
              </a:extLst>
            </xdr:cNvPr>
            <xdr:cNvSpPr txBox="1"/>
          </xdr:nvSpPr>
          <xdr:spPr>
            <a:xfrm>
              <a:off x="1524000" y="2490536"/>
              <a:ext cx="8485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𝑃(𝑎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≤𝑥 ̅≤𝑏)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16</xdr:row>
      <xdr:rowOff>0</xdr:rowOff>
    </xdr:from>
    <xdr:ext cx="702115" cy="1831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0091FE6-3065-4321-91B3-4DF91B66DFBE}"/>
                </a:ext>
              </a:extLst>
            </xdr:cNvPr>
            <xdr:cNvSpPr txBox="1"/>
          </xdr:nvSpPr>
          <xdr:spPr>
            <a:xfrm>
              <a:off x="1524000" y="3619500"/>
              <a:ext cx="70211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𝑐𝑓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&gt;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0091FE6-3065-4321-91B3-4DF91B66DFBE}"/>
                </a:ext>
              </a:extLst>
            </xdr:cNvPr>
            <xdr:cNvSpPr txBox="1"/>
          </xdr:nvSpPr>
          <xdr:spPr>
            <a:xfrm>
              <a:off x="1524000" y="3619500"/>
              <a:ext cx="70211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𝑃(𝑥 ̅_𝑐𝑓&gt;𝑎)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17</xdr:row>
      <xdr:rowOff>0</xdr:rowOff>
    </xdr:from>
    <xdr:ext cx="702115" cy="1831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24640077-3469-4C43-9D71-9032528A637C}"/>
                </a:ext>
              </a:extLst>
            </xdr:cNvPr>
            <xdr:cNvSpPr txBox="1"/>
          </xdr:nvSpPr>
          <xdr:spPr>
            <a:xfrm>
              <a:off x="1524000" y="3810000"/>
              <a:ext cx="70211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𝑐𝑓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24640077-3469-4C43-9D71-9032528A637C}"/>
                </a:ext>
              </a:extLst>
            </xdr:cNvPr>
            <xdr:cNvSpPr txBox="1"/>
          </xdr:nvSpPr>
          <xdr:spPr>
            <a:xfrm>
              <a:off x="1524000" y="3810000"/>
              <a:ext cx="70211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𝑃(𝑥 ̅_𝑐𝑓&lt;𝑎)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8467</xdr:colOff>
      <xdr:row>18</xdr:row>
      <xdr:rowOff>16933</xdr:rowOff>
    </xdr:from>
    <xdr:ext cx="1027333" cy="1831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301AEA5D-D4DF-4C63-AD5C-F1DF32994770}"/>
                </a:ext>
              </a:extLst>
            </xdr:cNvPr>
            <xdr:cNvSpPr txBox="1"/>
          </xdr:nvSpPr>
          <xdr:spPr>
            <a:xfrm>
              <a:off x="1532467" y="4017433"/>
              <a:ext cx="1027333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&lt; </m:t>
                    </m:r>
                    <m:sSub>
                      <m:sSub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acc>
                          <m:accPr>
                            <m:chr m:val="̅"/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acc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acc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𝑐𝑓</m:t>
                        </m:r>
                      </m:sub>
                    </m:sSub>
                    <m:r>
                      <a:rPr lang="en-US" sz="1100" b="0" i="1">
                        <a:latin typeface="Cambria Math" panose="02040503050406030204" pitchFamily="18" charset="0"/>
                      </a:rPr>
                      <m:t> &lt;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301AEA5D-D4DF-4C63-AD5C-F1DF32994770}"/>
                </a:ext>
              </a:extLst>
            </xdr:cNvPr>
            <xdr:cNvSpPr txBox="1"/>
          </xdr:nvSpPr>
          <xdr:spPr>
            <a:xfrm>
              <a:off x="1532467" y="4017433"/>
              <a:ext cx="1027333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𝑃(𝑎&lt; 𝑥 ̅_𝑐𝑓  &lt;𝑏)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15</xdr:row>
      <xdr:rowOff>0</xdr:rowOff>
    </xdr:from>
    <xdr:ext cx="1294713" cy="17767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C7DA8A0-AE7A-405E-A1BB-E6CF96F4202F}"/>
                </a:ext>
              </a:extLst>
            </xdr:cNvPr>
            <xdr:cNvSpPr txBox="1"/>
          </xdr:nvSpPr>
          <xdr:spPr>
            <a:xfrm>
              <a:off x="1524000" y="3429000"/>
              <a:ext cx="1294713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𝐶𝐹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𝑠𝑡𝑑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𝑒𝑟𝑟𝑜𝑟</m:t>
                  </m:r>
                  <m:r>
                    <a:rPr lang="en-US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n-US" sz="110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𝜎</m:t>
                  </m:r>
                </m:oMath>
              </a14:m>
              <a:r>
                <a:rPr lang="en-US" sz="1100"/>
                <a:t>/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</m:rad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C7DA8A0-AE7A-405E-A1BB-E6CF96F4202F}"/>
                </a:ext>
              </a:extLst>
            </xdr:cNvPr>
            <xdr:cNvSpPr txBox="1"/>
          </xdr:nvSpPr>
          <xdr:spPr>
            <a:xfrm>
              <a:off x="1524000" y="3429000"/>
              <a:ext cx="1294713" cy="17767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𝐶𝐹 𝑠𝑡𝑑 𝑒𝑟𝑟𝑜𝑟=</a:t>
              </a:r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en-US" sz="1100"/>
                <a:t>/</a:t>
              </a:r>
              <a:r>
                <a:rPr lang="en-US" sz="1100" i="0">
                  <a:latin typeface="Cambria Math" panose="02040503050406030204" pitchFamily="18" charset="0"/>
                </a:rPr>
                <a:t>√</a:t>
              </a:r>
              <a:r>
                <a:rPr lang="en-US" sz="1100" b="0" i="0">
                  <a:latin typeface="Cambria Math" panose="02040503050406030204" pitchFamily="18" charset="0"/>
                </a:rPr>
                <a:t>𝑛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84666</xdr:colOff>
      <xdr:row>5</xdr:row>
      <xdr:rowOff>25401</xdr:rowOff>
    </xdr:from>
    <xdr:ext cx="1032934" cy="28879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00AD523-ACE9-4292-B8CE-C8C59D3B7134}"/>
                </a:ext>
              </a:extLst>
            </xdr:cNvPr>
            <xdr:cNvSpPr txBox="1"/>
          </xdr:nvSpPr>
          <xdr:spPr>
            <a:xfrm>
              <a:off x="84666" y="977901"/>
              <a:ext cx="1032934" cy="2887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̂"/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</m:acc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C00AD523-ACE9-4292-B8CE-C8C59D3B7134}"/>
                </a:ext>
              </a:extLst>
            </xdr:cNvPr>
            <xdr:cNvSpPr txBox="1"/>
          </xdr:nvSpPr>
          <xdr:spPr>
            <a:xfrm>
              <a:off x="84666" y="977901"/>
              <a:ext cx="1032934" cy="2887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0" i="0">
                  <a:latin typeface="Cambria Math" panose="02040503050406030204" pitchFamily="18" charset="0"/>
                </a:rPr>
                <a:t>𝑝 ̂=  𝑥/𝑛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A744E-C6F4-46C8-B417-F6A523144060}">
  <dimension ref="A1:E11"/>
  <sheetViews>
    <sheetView zoomScale="140" zoomScaleNormal="140" workbookViewId="0">
      <selection activeCell="B5" sqref="B5"/>
    </sheetView>
  </sheetViews>
  <sheetFormatPr defaultRowHeight="15" x14ac:dyDescent="0.25"/>
  <cols>
    <col min="1" max="1" width="20.7109375" customWidth="1"/>
    <col min="4" max="4" width="11.42578125" customWidth="1"/>
  </cols>
  <sheetData>
    <row r="1" spans="1:5" x14ac:dyDescent="0.25">
      <c r="A1" t="s">
        <v>0</v>
      </c>
      <c r="B1" s="1">
        <v>31</v>
      </c>
      <c r="D1" s="2" t="s">
        <v>1</v>
      </c>
      <c r="E1" s="1"/>
    </row>
    <row r="2" spans="1:5" x14ac:dyDescent="0.25">
      <c r="A2" t="s">
        <v>2</v>
      </c>
      <c r="B2" s="1">
        <v>62</v>
      </c>
      <c r="D2" s="2" t="str">
        <f>(100*E1)&amp;"%"</f>
        <v>0%</v>
      </c>
      <c r="E2" s="2">
        <f>B1+E1*(B2-B1)</f>
        <v>31</v>
      </c>
    </row>
    <row r="3" spans="1:5" x14ac:dyDescent="0.25">
      <c r="A3" t="s">
        <v>3</v>
      </c>
      <c r="B3" s="2" t="str">
        <f>"1/"&amp;(B2-B1)</f>
        <v>1/31</v>
      </c>
    </row>
    <row r="4" spans="1:5" x14ac:dyDescent="0.25">
      <c r="A4" t="s">
        <v>4</v>
      </c>
      <c r="B4" s="2">
        <f>AVERAGE(B1:B2)</f>
        <v>46.5</v>
      </c>
    </row>
    <row r="5" spans="1:5" x14ac:dyDescent="0.25">
      <c r="A5" t="s">
        <v>5</v>
      </c>
      <c r="B5" s="2">
        <f>(B2-B1)/SQRT(12)</f>
        <v>8.9489291724392004</v>
      </c>
    </row>
    <row r="6" spans="1:5" x14ac:dyDescent="0.25">
      <c r="A6" t="s">
        <v>6</v>
      </c>
      <c r="B6" s="1"/>
    </row>
    <row r="7" spans="1:5" x14ac:dyDescent="0.25">
      <c r="A7" t="s">
        <v>7</v>
      </c>
      <c r="B7" s="1"/>
      <c r="C7" t="str">
        <f>IF(B7&gt;B2, B2, "")</f>
        <v/>
      </c>
      <c r="D7" s="4"/>
    </row>
    <row r="8" spans="1:5" x14ac:dyDescent="0.25">
      <c r="A8" t="s">
        <v>8</v>
      </c>
      <c r="B8" s="1"/>
    </row>
    <row r="9" spans="1:5" x14ac:dyDescent="0.25">
      <c r="A9" t="str">
        <f>"P(X &lt; "&amp;B6&amp;")"</f>
        <v>P(X &lt; )</v>
      </c>
      <c r="B9" s="5" t="str">
        <f>IF((B6-B1)/(B2-B1)&lt;0, "",(B6-B1)/(B2-B1))</f>
        <v/>
      </c>
    </row>
    <row r="10" spans="1:5" x14ac:dyDescent="0.25">
      <c r="A10" t="str">
        <f>"P(X &gt; "&amp;B6&amp;")"</f>
        <v>P(X &gt; )</v>
      </c>
      <c r="B10" s="5" t="str">
        <f>IF(B9="", "", 1-B9)</f>
        <v/>
      </c>
    </row>
    <row r="11" spans="1:5" x14ac:dyDescent="0.25">
      <c r="A11" t="str">
        <f>"P("&amp;B6&amp;" &lt; X &lt; "&amp;B7&amp;")"</f>
        <v>P( &lt; X &lt; )</v>
      </c>
      <c r="B11" s="5">
        <f>IF(B7&gt;B6, (B7-B6)/(B2-B1),0)</f>
        <v>0</v>
      </c>
    </row>
  </sheetData>
  <sheetProtection algorithmName="SHA-512" hashValue="EmP6BafDAWj8sawCt9Tj3X2TdNZ6dF+b+E/BBkIK03dDht+uhDThRUF5P9c6jP7LqFLb+CVnPQMsJB3n70sxBg==" saltValue="OnDllgWouKrF94KCd8IM9w==" spinCount="100000" sheet="1" objects="1" scenarios="1"/>
  <conditionalFormatting sqref="C6:C8">
    <cfRule type="cellIs" dxfId="5" priority="1" operator="notEqual">
      <formula>""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8E730-0788-40CA-BF47-C06EE279DD68}">
  <dimension ref="A1:B7"/>
  <sheetViews>
    <sheetView zoomScale="150" zoomScaleNormal="150" workbookViewId="0">
      <selection activeCell="D8" sqref="D8"/>
    </sheetView>
  </sheetViews>
  <sheetFormatPr defaultRowHeight="15" x14ac:dyDescent="0.25"/>
  <cols>
    <col min="1" max="1" width="18.28515625" customWidth="1"/>
  </cols>
  <sheetData>
    <row r="1" spans="1:2" x14ac:dyDescent="0.25">
      <c r="A1" s="2" t="s">
        <v>61</v>
      </c>
      <c r="B1" s="1"/>
    </row>
    <row r="2" spans="1:2" x14ac:dyDescent="0.25">
      <c r="A2" s="2" t="s">
        <v>62</v>
      </c>
      <c r="B2" s="1"/>
    </row>
    <row r="3" spans="1:2" x14ac:dyDescent="0.25">
      <c r="A3" s="2" t="s">
        <v>63</v>
      </c>
      <c r="B3" s="2">
        <f>IF(B2=0, 0, B1/B2)</f>
        <v>0</v>
      </c>
    </row>
    <row r="4" spans="1:2" x14ac:dyDescent="0.25">
      <c r="A4" s="2" t="s">
        <v>64</v>
      </c>
      <c r="B4" s="1"/>
    </row>
    <row r="5" spans="1:2" x14ac:dyDescent="0.25">
      <c r="A5" s="2" t="s">
        <v>65</v>
      </c>
      <c r="B5" s="1"/>
    </row>
    <row r="6" spans="1:2" x14ac:dyDescent="0.25">
      <c r="A6" s="2"/>
      <c r="B6" s="2">
        <f>IF(B5=0, 0, B4/B5)</f>
        <v>0</v>
      </c>
    </row>
    <row r="7" spans="1:2" x14ac:dyDescent="0.25">
      <c r="A7" s="2" t="s">
        <v>59</v>
      </c>
      <c r="B7" s="2">
        <f>B6-B3</f>
        <v>0</v>
      </c>
    </row>
  </sheetData>
  <sheetProtection algorithmName="SHA-512" hashValue="evF8hnwo8bpu6FNR67ofxf6AOIfPxCQh1+bAinvjKXS3LUDmiY+QeurrHhrR0BtowQXT9By7TkfcDaZneg50zA==" saltValue="LYDJIZPptGZoDRXa35xMNQ==" spinCount="100000" sheet="1" objects="1" scenarios="1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110D3-AF04-4F62-B526-8A4554991BE5}">
  <dimension ref="A1"/>
  <sheetViews>
    <sheetView zoomScale="140" zoomScaleNormal="140" workbookViewId="0"/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FDA1B-0B7B-4F21-89BA-4E19972651A9}">
  <dimension ref="A1:E51"/>
  <sheetViews>
    <sheetView zoomScale="150" zoomScaleNormal="150" workbookViewId="0">
      <selection activeCell="B2" sqref="B2"/>
    </sheetView>
  </sheetViews>
  <sheetFormatPr defaultRowHeight="15" x14ac:dyDescent="0.25"/>
  <cols>
    <col min="4" max="4" width="13.5703125" customWidth="1"/>
  </cols>
  <sheetData>
    <row r="1" spans="1:5" x14ac:dyDescent="0.25">
      <c r="A1" s="6" t="s">
        <v>9</v>
      </c>
      <c r="B1" s="7">
        <f>1/21</f>
        <v>4.7619047619047616E-2</v>
      </c>
      <c r="D1" s="2" t="s">
        <v>1</v>
      </c>
      <c r="E1" s="1">
        <v>0.45</v>
      </c>
    </row>
    <row r="2" spans="1:5" x14ac:dyDescent="0.25">
      <c r="A2" s="8" t="s">
        <v>10</v>
      </c>
      <c r="B2" s="2">
        <f>1/B1</f>
        <v>21</v>
      </c>
      <c r="D2" s="2" t="str">
        <f>E1*100&amp;"%"</f>
        <v>45%</v>
      </c>
      <c r="E2" s="2">
        <f>LN(1-E1)/(-1*B1)</f>
        <v>12.554577015868029</v>
      </c>
    </row>
    <row r="3" spans="1:5" x14ac:dyDescent="0.25">
      <c r="A3" s="8" t="s">
        <v>11</v>
      </c>
      <c r="B3" s="2">
        <f>1/B1</f>
        <v>21</v>
      </c>
    </row>
    <row r="5" spans="1:5" x14ac:dyDescent="0.25">
      <c r="A5" s="9" t="s">
        <v>12</v>
      </c>
      <c r="B5" s="9" t="s">
        <v>13</v>
      </c>
      <c r="C5" s="2" t="s">
        <v>14</v>
      </c>
    </row>
    <row r="6" spans="1:5" x14ac:dyDescent="0.25">
      <c r="A6" s="10">
        <v>0</v>
      </c>
      <c r="B6" s="5">
        <f>_xlfn.EXPON.DIST(A6,$B$1, TRUE)</f>
        <v>0</v>
      </c>
      <c r="C6" s="5">
        <f>1-B6</f>
        <v>1</v>
      </c>
    </row>
    <row r="7" spans="1:5" x14ac:dyDescent="0.25">
      <c r="A7" s="10">
        <v>1</v>
      </c>
      <c r="B7" s="5">
        <f t="shared" ref="B7:B51" si="0">_xlfn.EXPON.DIST(A7,$B$1, TRUE)</f>
        <v>4.6503045166523309E-2</v>
      </c>
      <c r="C7" s="5">
        <f t="shared" ref="C7:C51" si="1">1-B7</f>
        <v>0.95349695483347674</v>
      </c>
    </row>
    <row r="8" spans="1:5" x14ac:dyDescent="0.25">
      <c r="A8" s="10">
        <v>2</v>
      </c>
      <c r="B8" s="5">
        <f t="shared" si="0"/>
        <v>9.08435571232869E-2</v>
      </c>
      <c r="C8" s="5">
        <f t="shared" si="1"/>
        <v>0.90915644287671316</v>
      </c>
    </row>
    <row r="9" spans="1:5" x14ac:dyDescent="0.25">
      <c r="A9" s="10">
        <v>3</v>
      </c>
      <c r="B9" s="5">
        <f t="shared" si="0"/>
        <v>0.13312210024981835</v>
      </c>
      <c r="C9" s="5">
        <f t="shared" si="1"/>
        <v>0.86687789975018159</v>
      </c>
    </row>
    <row r="10" spans="1:5" x14ac:dyDescent="0.25">
      <c r="A10" s="10">
        <v>4</v>
      </c>
      <c r="B10" s="5">
        <f t="shared" si="0"/>
        <v>0.17343456237576194</v>
      </c>
      <c r="C10" s="5">
        <f t="shared" si="1"/>
        <v>0.82656543762423806</v>
      </c>
    </row>
    <row r="11" spans="1:5" x14ac:dyDescent="0.25">
      <c r="A11" s="10">
        <v>5</v>
      </c>
      <c r="B11" s="5">
        <f t="shared" si="0"/>
        <v>0.21187237225468897</v>
      </c>
      <c r="C11" s="5">
        <f t="shared" si="1"/>
        <v>0.78812762774531109</v>
      </c>
    </row>
    <row r="12" spans="1:5" x14ac:dyDescent="0.25">
      <c r="A12" s="10">
        <v>6</v>
      </c>
      <c r="B12" s="5">
        <f t="shared" si="0"/>
        <v>0.24852270692471407</v>
      </c>
      <c r="C12" s="5">
        <f t="shared" si="1"/>
        <v>0.75147729307528599</v>
      </c>
    </row>
    <row r="13" spans="1:5" x14ac:dyDescent="0.25">
      <c r="A13" s="10">
        <v>7</v>
      </c>
      <c r="B13" s="5">
        <f t="shared" si="0"/>
        <v>0.28346868942621073</v>
      </c>
      <c r="C13" s="5">
        <f t="shared" si="1"/>
        <v>0.71653131057378927</v>
      </c>
    </row>
    <row r="14" spans="1:5" x14ac:dyDescent="0.25">
      <c r="A14" s="10">
        <v>8</v>
      </c>
      <c r="B14" s="5">
        <f t="shared" si="0"/>
        <v>0.31678957732505181</v>
      </c>
      <c r="C14" s="5">
        <f t="shared" si="1"/>
        <v>0.68321042267494825</v>
      </c>
    </row>
    <row r="15" spans="1:5" x14ac:dyDescent="0.25">
      <c r="A15" s="10">
        <v>9</v>
      </c>
      <c r="B15" s="5">
        <f t="shared" si="0"/>
        <v>0.34856094246894437</v>
      </c>
      <c r="C15" s="5">
        <f t="shared" si="1"/>
        <v>0.65143905753105558</v>
      </c>
    </row>
    <row r="16" spans="1:5" x14ac:dyDescent="0.25">
      <c r="A16" s="10">
        <v>10</v>
      </c>
      <c r="B16" s="5">
        <f t="shared" si="0"/>
        <v>0.37885484238454842</v>
      </c>
      <c r="C16" s="5">
        <f t="shared" si="1"/>
        <v>0.62114515761545164</v>
      </c>
    </row>
    <row r="17" spans="1:3" x14ac:dyDescent="0.25">
      <c r="A17" s="10">
        <v>11</v>
      </c>
      <c r="B17" s="5">
        <f t="shared" si="0"/>
        <v>0.40773998370410702</v>
      </c>
      <c r="C17" s="5">
        <f t="shared" si="1"/>
        <v>0.59226001629589298</v>
      </c>
    </row>
    <row r="18" spans="1:3" x14ac:dyDescent="0.25">
      <c r="A18" s="10">
        <v>12</v>
      </c>
      <c r="B18" s="5">
        <f t="shared" si="0"/>
        <v>0.43528187799224083</v>
      </c>
      <c r="C18" s="5">
        <f t="shared" si="1"/>
        <v>0.56471812200775917</v>
      </c>
    </row>
    <row r="19" spans="1:3" x14ac:dyDescent="0.25">
      <c r="A19" s="10">
        <v>13</v>
      </c>
      <c r="B19" s="5">
        <f t="shared" si="0"/>
        <v>0.46154299032632179</v>
      </c>
      <c r="C19" s="5">
        <f t="shared" si="1"/>
        <v>0.53845700967367827</v>
      </c>
    </row>
    <row r="20" spans="1:3" x14ac:dyDescent="0.25">
      <c r="A20" s="10">
        <v>14</v>
      </c>
      <c r="B20" s="5">
        <f t="shared" si="0"/>
        <v>0.48658288096740798</v>
      </c>
      <c r="C20" s="5">
        <f t="shared" si="1"/>
        <v>0.51341711903259202</v>
      </c>
    </row>
    <row r="21" spans="1:3" x14ac:dyDescent="0.25">
      <c r="A21" s="10">
        <v>15</v>
      </c>
      <c r="B21" s="5">
        <f t="shared" si="0"/>
        <v>0.51045834044304683</v>
      </c>
      <c r="C21" s="5">
        <f t="shared" si="1"/>
        <v>0.48954165955695317</v>
      </c>
    </row>
    <row r="22" spans="1:3" x14ac:dyDescent="0.25">
      <c r="A22" s="10">
        <v>16</v>
      </c>
      <c r="B22" s="5">
        <f t="shared" si="0"/>
        <v>0.5332235183483186</v>
      </c>
      <c r="C22" s="5">
        <f t="shared" si="1"/>
        <v>0.4667764816516814</v>
      </c>
    </row>
    <row r="23" spans="1:3" x14ac:dyDescent="0.25">
      <c r="A23" s="10">
        <v>17</v>
      </c>
      <c r="B23" s="5">
        <f t="shared" si="0"/>
        <v>0.55493004615723762</v>
      </c>
      <c r="C23" s="5">
        <f t="shared" si="1"/>
        <v>0.44506995384276238</v>
      </c>
    </row>
    <row r="24" spans="1:3" x14ac:dyDescent="0.25">
      <c r="A24" s="10">
        <v>18</v>
      </c>
      <c r="B24" s="5">
        <f t="shared" si="0"/>
        <v>0.57562715432305001</v>
      </c>
      <c r="C24" s="5">
        <f t="shared" si="1"/>
        <v>0.42437284567694999</v>
      </c>
    </row>
    <row r="25" spans="1:3" x14ac:dyDescent="0.25">
      <c r="A25" s="10">
        <v>19</v>
      </c>
      <c r="B25" s="5">
        <f t="shared" si="0"/>
        <v>0.5953617839330112</v>
      </c>
      <c r="C25" s="5">
        <f t="shared" si="1"/>
        <v>0.4046382160669888</v>
      </c>
    </row>
    <row r="26" spans="1:3" x14ac:dyDescent="0.25">
      <c r="A26" s="10">
        <v>20</v>
      </c>
      <c r="B26" s="5">
        <f t="shared" si="0"/>
        <v>0.61417869317087592</v>
      </c>
      <c r="C26" s="5">
        <f t="shared" si="1"/>
        <v>0.38582130682912408</v>
      </c>
    </row>
    <row r="27" spans="1:3" x14ac:dyDescent="0.25">
      <c r="A27" s="10">
        <v>21</v>
      </c>
      <c r="B27" s="5">
        <f t="shared" si="0"/>
        <v>0.63212055882855767</v>
      </c>
      <c r="C27" s="5">
        <f t="shared" si="1"/>
        <v>0.36787944117144233</v>
      </c>
    </row>
    <row r="28" spans="1:3" x14ac:dyDescent="0.25">
      <c r="A28" s="10">
        <v>22</v>
      </c>
      <c r="B28" s="5">
        <f t="shared" si="0"/>
        <v>0.64922807309718855</v>
      </c>
      <c r="C28" s="5">
        <f t="shared" si="1"/>
        <v>0.35077192690281145</v>
      </c>
    </row>
    <row r="29" spans="1:3" x14ac:dyDescent="0.25">
      <c r="A29" s="10">
        <v>23</v>
      </c>
      <c r="B29" s="5">
        <f t="shared" si="0"/>
        <v>0.66554003585709842</v>
      </c>
      <c r="C29" s="5">
        <f t="shared" si="1"/>
        <v>0.33445996414290158</v>
      </c>
    </row>
    <row r="30" spans="1:3" x14ac:dyDescent="0.25">
      <c r="A30" s="10">
        <v>24</v>
      </c>
      <c r="B30" s="5">
        <f t="shared" si="0"/>
        <v>0.68109344267602956</v>
      </c>
      <c r="C30" s="5">
        <f t="shared" si="1"/>
        <v>0.31890655732397044</v>
      </c>
    </row>
    <row r="31" spans="1:3" x14ac:dyDescent="0.25">
      <c r="A31" s="10">
        <v>25</v>
      </c>
      <c r="B31" s="5">
        <f t="shared" si="0"/>
        <v>0.69592356871516659</v>
      </c>
      <c r="C31" s="5">
        <f t="shared" si="1"/>
        <v>0.30407643128483341</v>
      </c>
    </row>
    <row r="32" spans="1:3" x14ac:dyDescent="0.25">
      <c r="A32" s="10">
        <v>26</v>
      </c>
      <c r="B32" s="5">
        <f t="shared" si="0"/>
        <v>0.71006404873328055</v>
      </c>
      <c r="C32" s="5">
        <f t="shared" si="1"/>
        <v>0.28993595126671945</v>
      </c>
    </row>
    <row r="33" spans="1:3" x14ac:dyDescent="0.25">
      <c r="A33" s="10">
        <v>27</v>
      </c>
      <c r="B33" s="5">
        <f t="shared" si="0"/>
        <v>0.72354695337043551</v>
      </c>
      <c r="C33" s="5">
        <f t="shared" si="1"/>
        <v>0.27645304662956449</v>
      </c>
    </row>
    <row r="34" spans="1:3" x14ac:dyDescent="0.25">
      <c r="A34" s="10">
        <v>28</v>
      </c>
      <c r="B34" s="5">
        <f t="shared" si="0"/>
        <v>0.73640286188427329</v>
      </c>
      <c r="C34" s="5">
        <f t="shared" si="1"/>
        <v>0.26359713811572671</v>
      </c>
    </row>
    <row r="35" spans="1:3" x14ac:dyDescent="0.25">
      <c r="A35" s="10">
        <v>29</v>
      </c>
      <c r="B35" s="5">
        <f t="shared" si="0"/>
        <v>0.74866093150383517</v>
      </c>
      <c r="C35" s="5">
        <f t="shared" si="1"/>
        <v>0.25133906849616483</v>
      </c>
    </row>
    <row r="36" spans="1:3" x14ac:dyDescent="0.25">
      <c r="A36" s="10">
        <v>30</v>
      </c>
      <c r="B36" s="5">
        <f t="shared" si="0"/>
        <v>0.76034896355822412</v>
      </c>
      <c r="C36" s="5">
        <f t="shared" si="1"/>
        <v>0.23965103644177588</v>
      </c>
    </row>
    <row r="37" spans="1:3" x14ac:dyDescent="0.25">
      <c r="A37" s="10">
        <v>31</v>
      </c>
      <c r="B37" s="5">
        <f t="shared" si="0"/>
        <v>0.77149346653008022</v>
      </c>
      <c r="C37" s="5">
        <f t="shared" si="1"/>
        <v>0.22850653346991978</v>
      </c>
    </row>
    <row r="38" spans="1:3" x14ac:dyDescent="0.25">
      <c r="A38" s="10">
        <v>32</v>
      </c>
      <c r="B38" s="5">
        <f t="shared" si="0"/>
        <v>0.78211971617687759</v>
      </c>
      <c r="C38" s="5">
        <f t="shared" si="1"/>
        <v>0.21788028382312241</v>
      </c>
    </row>
    <row r="39" spans="1:3" x14ac:dyDescent="0.25">
      <c r="A39" s="10">
        <v>33</v>
      </c>
      <c r="B39" s="5">
        <f t="shared" si="0"/>
        <v>0.79225181285639912</v>
      </c>
      <c r="C39" s="5">
        <f t="shared" si="1"/>
        <v>0.20774818714360088</v>
      </c>
    </row>
    <row r="40" spans="1:3" x14ac:dyDescent="0.25">
      <c r="A40" s="10">
        <v>34</v>
      </c>
      <c r="B40" s="5">
        <f t="shared" si="0"/>
        <v>0.80191273618640135</v>
      </c>
      <c r="C40" s="5">
        <f t="shared" si="1"/>
        <v>0.19808726381359865</v>
      </c>
    </row>
    <row r="41" spans="1:3" x14ac:dyDescent="0.25">
      <c r="A41" s="10">
        <v>35</v>
      </c>
      <c r="B41" s="5">
        <f t="shared" si="0"/>
        <v>0.81112439716243812</v>
      </c>
      <c r="C41" s="5">
        <f t="shared" si="1"/>
        <v>0.18887560283756188</v>
      </c>
    </row>
    <row r="42" spans="1:3" x14ac:dyDescent="0.25">
      <c r="A42" s="10">
        <v>36</v>
      </c>
      <c r="B42" s="5">
        <f t="shared" si="0"/>
        <v>0.8199076878520476</v>
      </c>
      <c r="C42" s="5">
        <f t="shared" si="1"/>
        <v>0.1800923121479524</v>
      </c>
    </row>
    <row r="43" spans="1:3" x14ac:dyDescent="0.25">
      <c r="A43" s="10">
        <v>37</v>
      </c>
      <c r="B43" s="5">
        <f t="shared" si="0"/>
        <v>0.82828252877800745</v>
      </c>
      <c r="C43" s="5">
        <f t="shared" si="1"/>
        <v>0.17171747122199255</v>
      </c>
    </row>
    <row r="44" spans="1:3" x14ac:dyDescent="0.25">
      <c r="A44" s="10">
        <v>38</v>
      </c>
      <c r="B44" s="5">
        <f t="shared" si="0"/>
        <v>0.83626791409812495</v>
      </c>
      <c r="C44" s="5">
        <f t="shared" si="1"/>
        <v>0.16373208590187505</v>
      </c>
    </row>
    <row r="45" spans="1:3" x14ac:dyDescent="0.25">
      <c r="A45" s="10">
        <v>39</v>
      </c>
      <c r="B45" s="5">
        <f t="shared" si="0"/>
        <v>0.84388195468402893</v>
      </c>
      <c r="C45" s="5">
        <f t="shared" si="1"/>
        <v>0.15611804531597107</v>
      </c>
    </row>
    <row r="46" spans="1:3" x14ac:dyDescent="0.25">
      <c r="A46" s="10">
        <v>40</v>
      </c>
      <c r="B46" s="5">
        <f t="shared" si="0"/>
        <v>0.85114191919666682</v>
      </c>
      <c r="C46" s="5">
        <f t="shared" si="1"/>
        <v>0.14885808080333318</v>
      </c>
    </row>
    <row r="47" spans="1:3" x14ac:dyDescent="0.25">
      <c r="A47" s="10">
        <v>41</v>
      </c>
      <c r="B47" s="5">
        <f t="shared" si="0"/>
        <v>0.85806427325166623</v>
      </c>
      <c r="C47" s="5">
        <f t="shared" si="1"/>
        <v>0.14193572674833377</v>
      </c>
    </row>
    <row r="48" spans="1:3" x14ac:dyDescent="0.25">
      <c r="A48" s="10">
        <v>42</v>
      </c>
      <c r="B48" s="5">
        <f t="shared" si="0"/>
        <v>0.8646647167633873</v>
      </c>
      <c r="C48" s="5">
        <f t="shared" si="1"/>
        <v>0.1353352832366127</v>
      </c>
    </row>
    <row r="49" spans="1:3" x14ac:dyDescent="0.25">
      <c r="A49" s="10">
        <v>43</v>
      </c>
      <c r="B49" s="5">
        <f t="shared" si="0"/>
        <v>0.87095821955236374</v>
      </c>
      <c r="C49" s="5">
        <f t="shared" si="1"/>
        <v>0.12904178044763626</v>
      </c>
    </row>
    <row r="50" spans="1:3" x14ac:dyDescent="0.25">
      <c r="A50" s="10">
        <v>44</v>
      </c>
      <c r="B50" s="5">
        <f t="shared" si="0"/>
        <v>0.87695905529688867</v>
      </c>
      <c r="C50" s="5">
        <f t="shared" si="1"/>
        <v>0.12304094470311133</v>
      </c>
    </row>
    <row r="51" spans="1:3" x14ac:dyDescent="0.25">
      <c r="A51" s="10">
        <v>45</v>
      </c>
      <c r="B51" s="5">
        <f t="shared" si="0"/>
        <v>0.88268083390574925</v>
      </c>
      <c r="C51" s="5">
        <f t="shared" si="1"/>
        <v>0.11731916609425075</v>
      </c>
    </row>
  </sheetData>
  <sheetProtection algorithmName="SHA-512" hashValue="WPbnSuTGr5JWEjsrpWy04uuWweLSIM+wa2mZ6/B01RqxoKAnW/YXZrbvHynk1G8zUBqfHHHwDCHMU6cw9JWjhQ==" saltValue="uu4ffXFhGbRDdf8j2jOjs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778FC-7255-460C-89B6-F82DB10D1879}">
  <dimension ref="A1:E23"/>
  <sheetViews>
    <sheetView tabSelected="1" zoomScale="130" zoomScaleNormal="130" workbookViewId="0">
      <selection activeCell="E2" sqref="E2"/>
    </sheetView>
  </sheetViews>
  <sheetFormatPr defaultRowHeight="15" x14ac:dyDescent="0.25"/>
  <cols>
    <col min="1" max="1" width="29.85546875" customWidth="1"/>
    <col min="4" max="4" width="30" customWidth="1"/>
  </cols>
  <sheetData>
    <row r="1" spans="1:5" x14ac:dyDescent="0.25">
      <c r="A1" s="2" t="s">
        <v>15</v>
      </c>
      <c r="B1" s="1">
        <v>46.5</v>
      </c>
      <c r="D1" s="2" t="s">
        <v>20</v>
      </c>
      <c r="E1" s="1">
        <f>1-0.21</f>
        <v>0.79</v>
      </c>
    </row>
    <row r="2" spans="1:5" x14ac:dyDescent="0.25">
      <c r="A2" s="2" t="s">
        <v>17</v>
      </c>
      <c r="B2" s="1">
        <v>8.9489000000000001</v>
      </c>
      <c r="D2" s="2" t="s">
        <v>21</v>
      </c>
      <c r="E2" s="2">
        <f>_xlfn.NORM.INV(E1,B1, B16)</f>
        <v>47.156023684449337</v>
      </c>
    </row>
    <row r="3" spans="1:5" x14ac:dyDescent="0.25">
      <c r="A3" s="2" t="s">
        <v>18</v>
      </c>
      <c r="B3" s="1"/>
    </row>
    <row r="4" spans="1:5" x14ac:dyDescent="0.25">
      <c r="A4" s="2" t="s">
        <v>19</v>
      </c>
      <c r="B4" s="11">
        <f>(B3-B1)/B2</f>
        <v>-5.1961693615975149</v>
      </c>
    </row>
    <row r="5" spans="1:5" x14ac:dyDescent="0.25">
      <c r="A5" s="2" t="s">
        <v>0</v>
      </c>
      <c r="B5" s="1">
        <v>45.28</v>
      </c>
    </row>
    <row r="6" spans="1:5" x14ac:dyDescent="0.25">
      <c r="A6" s="2" t="s">
        <v>2</v>
      </c>
      <c r="B6" s="1"/>
    </row>
    <row r="7" spans="1:5" x14ac:dyDescent="0.25">
      <c r="A7" s="2" t="s">
        <v>22</v>
      </c>
      <c r="B7" s="1">
        <v>121</v>
      </c>
    </row>
    <row r="8" spans="1:5" x14ac:dyDescent="0.25">
      <c r="A8" s="12"/>
      <c r="B8" s="5">
        <f>B2/SQRT(B7)</f>
        <v>0.81353636363636361</v>
      </c>
    </row>
    <row r="9" spans="1:5" x14ac:dyDescent="0.25">
      <c r="A9" s="2"/>
      <c r="B9" s="5">
        <f>1-_xlfn.NORM.DIST(B5,B1,B8, TRUE)</f>
        <v>0.93314430050502073</v>
      </c>
    </row>
    <row r="10" spans="1:5" x14ac:dyDescent="0.25">
      <c r="A10" s="2"/>
      <c r="B10" s="5">
        <f>_xlfn.NORM.DIST(B5,B1,B8, TRUE)</f>
        <v>6.6855699494979284E-2</v>
      </c>
    </row>
    <row r="11" spans="1:5" x14ac:dyDescent="0.25">
      <c r="A11" s="2"/>
      <c r="B11" s="5">
        <f>_xlfn.NORM.DIST(B6,B1,B8, TRUE)-_xlfn.NORM.DIST(B5,B1,B8, TRUE)</f>
        <v>-6.6855699494979284E-2</v>
      </c>
    </row>
    <row r="12" spans="1:5" x14ac:dyDescent="0.25">
      <c r="A12" s="2" t="s">
        <v>23</v>
      </c>
      <c r="B12" s="1">
        <v>0</v>
      </c>
    </row>
    <row r="13" spans="1:5" x14ac:dyDescent="0.25">
      <c r="A13" s="2" t="s">
        <v>24</v>
      </c>
      <c r="B13" s="1">
        <v>0.92</v>
      </c>
    </row>
    <row r="14" spans="1:5" x14ac:dyDescent="0.25">
      <c r="A14" s="2" t="s">
        <v>25</v>
      </c>
      <c r="B14" s="13" t="s">
        <v>26</v>
      </c>
    </row>
    <row r="15" spans="1:5" x14ac:dyDescent="0.25">
      <c r="A15" s="2" t="s">
        <v>27</v>
      </c>
      <c r="B15" s="2">
        <f>IF(B12&gt; 0, ROUND(SQRT((B12-B7)/(B12-1)), 4), 1)</f>
        <v>1</v>
      </c>
      <c r="D15" s="14" t="str">
        <f>IF(B12&gt;0, IF( B7/B12&gt;0.05, "Correction Factor Applies", ""), "")</f>
        <v/>
      </c>
    </row>
    <row r="16" spans="1:5" x14ac:dyDescent="0.25">
      <c r="A16" s="2"/>
      <c r="B16" s="2">
        <f>ROUND(B15*B8,4)</f>
        <v>0.8135</v>
      </c>
      <c r="D16" s="2" t="str">
        <f>(100*B13)&amp;"% Confidence Interval"</f>
        <v>92% Confidence Interval</v>
      </c>
    </row>
    <row r="17" spans="1:5" x14ac:dyDescent="0.25">
      <c r="A17" s="2"/>
      <c r="B17" s="2" t="str">
        <f>IF(B12&gt;0, IF(B7/B12&gt;0.05, ROUND(1-_xlfn.NORM.DIST(B5, B1, B16, TRUE), 4), ""), "")</f>
        <v/>
      </c>
      <c r="D17" s="2" t="s">
        <v>28</v>
      </c>
      <c r="E17" s="2"/>
    </row>
    <row r="18" spans="1:5" x14ac:dyDescent="0.25">
      <c r="A18" s="2"/>
      <c r="B18" s="2" t="str">
        <f>IF(B12&gt;0, IF(B7/B12&gt;0.05, ROUND(_xlfn.NORM.DIST(B5,B1,B15, TRUE), 4), ""), "")</f>
        <v/>
      </c>
      <c r="D18" s="2" t="s">
        <v>29</v>
      </c>
      <c r="E18" s="2">
        <f>B1-B23</f>
        <v>45.063699999999997</v>
      </c>
    </row>
    <row r="19" spans="1:5" x14ac:dyDescent="0.25">
      <c r="A19" s="2"/>
      <c r="B19" s="2" t="str">
        <f>IF(B12&gt;0,IF(B7/B12&gt;0.05, ROUND(_xlfn.NORM.DIST(B6, B1,B16, TRUE) - _xlfn.NORM.DIST(B5, B1, B16, TRUE), 4), ""), "")</f>
        <v/>
      </c>
      <c r="D19" s="2" t="s">
        <v>30</v>
      </c>
      <c r="E19" s="2">
        <f>B1+B23</f>
        <v>47.936300000000003</v>
      </c>
    </row>
    <row r="20" spans="1:5" x14ac:dyDescent="0.25">
      <c r="A20" s="2" t="s">
        <v>31</v>
      </c>
      <c r="B20" s="2" t="str">
        <f>IF(B14="Yes", ROUND(IF(B14="Yes",ABS( _xlfn.NORM.INV((1-B13)/2, 0, 1)), ""), 2), "")</f>
        <v/>
      </c>
    </row>
    <row r="21" spans="1:5" x14ac:dyDescent="0.25">
      <c r="A21" s="2" t="s">
        <v>32</v>
      </c>
      <c r="B21" s="2">
        <f>IF(B14="Yes", "", B7-1)</f>
        <v>120</v>
      </c>
    </row>
    <row r="22" spans="1:5" x14ac:dyDescent="0.25">
      <c r="A22" s="2" t="s">
        <v>33</v>
      </c>
      <c r="B22" s="2">
        <f>IF(B14="Yes", "", ROUND(ABS(_xlfn.T.INV((1-B13)/2, B21)),4))</f>
        <v>1.7656000000000001</v>
      </c>
    </row>
    <row r="23" spans="1:5" x14ac:dyDescent="0.25">
      <c r="A23" s="2" t="s">
        <v>34</v>
      </c>
      <c r="B23" s="2">
        <f>ROUND(IF(B14="Yes", B20*B16, B22*B16),4)</f>
        <v>1.4362999999999999</v>
      </c>
    </row>
  </sheetData>
  <sheetProtection algorithmName="SHA-512" hashValue="ziVC1OIv+JQ7njivIUdxlGAZITRaMXclKrq/PyqsXETeQhEdIvBvCyjRykYRx/FO74vu7FuYlWiqwSMtKHssPA==" saltValue="BS3EvQ26US3i77VEx+sw3g==" spinCount="100000" sheet="1" objects="1" scenarios="1"/>
  <conditionalFormatting sqref="D15">
    <cfRule type="containsText" dxfId="4" priority="1" operator="containsText" text="Correction Factor Applies">
      <formula>NOT(ISERROR(SEARCH("Correction Factor Applies",D15)))</formula>
    </cfRule>
  </conditionalFormatting>
  <dataValidations count="1">
    <dataValidation type="list" allowBlank="1" showInputMessage="1" showErrorMessage="1" sqref="B14" xr:uid="{C5F2A8C1-F3CF-45FB-9953-C5074119D1CD}">
      <formula1>$P$11:$P$12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D857-2302-4A17-A737-67B7231E4AD8}">
  <dimension ref="A1:E17"/>
  <sheetViews>
    <sheetView zoomScale="150" zoomScaleNormal="150" workbookViewId="0">
      <selection activeCell="E1" sqref="E1"/>
    </sheetView>
  </sheetViews>
  <sheetFormatPr defaultRowHeight="15" x14ac:dyDescent="0.25"/>
  <cols>
    <col min="1" max="1" width="24.85546875" customWidth="1"/>
    <col min="4" max="4" width="28.28515625" customWidth="1"/>
  </cols>
  <sheetData>
    <row r="1" spans="1:5" x14ac:dyDescent="0.25">
      <c r="A1" s="2" t="s">
        <v>35</v>
      </c>
      <c r="B1" s="15">
        <v>0.06</v>
      </c>
      <c r="D1" s="2" t="s">
        <v>16</v>
      </c>
      <c r="E1" s="1">
        <v>0.3</v>
      </c>
    </row>
    <row r="2" spans="1:5" x14ac:dyDescent="0.25">
      <c r="A2" s="2" t="s">
        <v>36</v>
      </c>
      <c r="B2" s="1">
        <v>183</v>
      </c>
      <c r="D2" s="2" t="str">
        <f>(100*E1)&amp;"% of values are &lt;"</f>
        <v>30% of values are &lt;</v>
      </c>
      <c r="E2" s="2">
        <f>_xlfn.NORM.INV(E1,B1,IF(B12&gt;0, IF(AND(B12&gt;0, B2/B12&gt;0.05), B14, B4), B4))</f>
        <v>5.1242511437775716E-2</v>
      </c>
    </row>
    <row r="3" spans="1:5" x14ac:dyDescent="0.25">
      <c r="A3" s="2" t="s">
        <v>37</v>
      </c>
      <c r="B3" s="2">
        <f>ROUND(B1, 4)</f>
        <v>0.06</v>
      </c>
    </row>
    <row r="4" spans="1:5" x14ac:dyDescent="0.25">
      <c r="A4" s="2" t="s">
        <v>17</v>
      </c>
      <c r="B4" s="2">
        <f>ROUND(SQRT(B3*(1-B3)/B2), 4)</f>
        <v>1.7600000000000001E-2</v>
      </c>
    </row>
    <row r="5" spans="1:5" x14ac:dyDescent="0.25">
      <c r="A5" s="2"/>
      <c r="B5" s="1">
        <v>0.41</v>
      </c>
      <c r="D5" s="2" t="s">
        <v>38</v>
      </c>
      <c r="E5" s="2"/>
    </row>
    <row r="6" spans="1:5" x14ac:dyDescent="0.25">
      <c r="A6" s="2" t="s">
        <v>19</v>
      </c>
      <c r="B6" s="11">
        <f>(B5-B1)/B4</f>
        <v>19.886363636363633</v>
      </c>
      <c r="D6" s="2" t="s">
        <v>39</v>
      </c>
      <c r="E6" s="2">
        <f>B2*B1</f>
        <v>10.98</v>
      </c>
    </row>
    <row r="7" spans="1:5" x14ac:dyDescent="0.25">
      <c r="A7" s="2" t="s">
        <v>0</v>
      </c>
      <c r="B7" s="1">
        <f>9/183</f>
        <v>4.9180327868852458E-2</v>
      </c>
      <c r="D7" s="2" t="s">
        <v>40</v>
      </c>
      <c r="E7" s="2">
        <f>B2*(1-B1)</f>
        <v>172.01999999999998</v>
      </c>
    </row>
    <row r="8" spans="1:5" x14ac:dyDescent="0.25">
      <c r="A8" s="2" t="s">
        <v>2</v>
      </c>
      <c r="B8" s="1">
        <v>0.17</v>
      </c>
      <c r="D8" s="14" t="str">
        <f>IF(AND(E6&gt;=5, E7&gt;=5), "Passed CTL","Failed CTL")</f>
        <v>Passed CTL</v>
      </c>
      <c r="E8" s="14"/>
    </row>
    <row r="9" spans="1:5" x14ac:dyDescent="0.25">
      <c r="A9" s="2"/>
      <c r="B9" s="5">
        <f>1-_xlfn.NORM.DIST(B7, B1,B4, TRUE)</f>
        <v>0.73064143646265511</v>
      </c>
    </row>
    <row r="10" spans="1:5" x14ac:dyDescent="0.25">
      <c r="A10" s="2"/>
      <c r="B10" s="5">
        <f>1-B9</f>
        <v>0.26935856353734489</v>
      </c>
      <c r="C10" t="s">
        <v>41</v>
      </c>
    </row>
    <row r="11" spans="1:5" x14ac:dyDescent="0.25">
      <c r="A11" s="2"/>
      <c r="B11" s="5">
        <f>_xlfn.NORM.DIST(B8,B1,B4,TRUE)-_xlfn.NORM.DIST(B7,B1,B4,TRUE)</f>
        <v>0.73064143625742872</v>
      </c>
    </row>
    <row r="12" spans="1:5" x14ac:dyDescent="0.25">
      <c r="A12" s="2" t="s">
        <v>42</v>
      </c>
      <c r="B12" s="1">
        <v>1826</v>
      </c>
    </row>
    <row r="13" spans="1:5" x14ac:dyDescent="0.25">
      <c r="A13" s="2" t="s">
        <v>27</v>
      </c>
      <c r="B13" s="2">
        <f>IF(AND(B12&gt;0, B2/B12&gt;0.05), SQRT((B12-B2)/(B12-1)), "")</f>
        <v>0.94882768330331713</v>
      </c>
      <c r="D13" t="str">
        <f>IF(B2/B12 &gt; 0.05, "Correction Factor Applies", "")</f>
        <v>Correction Factor Applies</v>
      </c>
    </row>
    <row r="14" spans="1:5" x14ac:dyDescent="0.25">
      <c r="A14" s="2" t="s">
        <v>43</v>
      </c>
      <c r="B14" s="2">
        <f>IF(AND(B12&gt;0, B2/B12&gt;0.05), ROUND(B13*B4, 4), "")</f>
        <v>1.67E-2</v>
      </c>
    </row>
    <row r="15" spans="1:5" x14ac:dyDescent="0.25">
      <c r="A15" s="2"/>
      <c r="B15" s="5">
        <f>IF(AND(B12&gt;0,B2/B12&gt;0.05), ROUND(1-_xlfn.NORM.DIST(B7, B3, B14, TRUE), 4), "")</f>
        <v>0.74150000000000005</v>
      </c>
    </row>
    <row r="16" spans="1:5" x14ac:dyDescent="0.25">
      <c r="A16" s="2"/>
      <c r="B16" s="5">
        <f>IF(AND(B2/B12&gt;0.05, B12&gt;0), ROUND(_xlfn.NORM.DIST(B7, B3,B14, TRUE), 4), "")</f>
        <v>0.25850000000000001</v>
      </c>
    </row>
    <row r="17" spans="1:2" x14ac:dyDescent="0.25">
      <c r="A17" s="2"/>
      <c r="B17" s="2">
        <f>IF(AND(B2/B12&gt;0.05, B12&gt;0), ROUND(_xlfn.NORM.DIST(B8,B3,B14, TRUE) - _xlfn.NORM.DIST(B7,B3,B14, TRUE), 4), "")</f>
        <v>0.74150000000000005</v>
      </c>
    </row>
  </sheetData>
  <sheetProtection algorithmName="SHA-512" hashValue="VrJhCfVL4RqU9vHcbbiGEW3D7h9nNILWuBMEKprjIOd/Vn8u+FFO2nzn5C2OssT3VkQyKvzn0LmsHGPWLcleCg==" saltValue="2zNPPq/heyGe/JUY8zwe/g==" spinCount="100000" sheet="1" objects="1" scenarios="1"/>
  <conditionalFormatting sqref="D8">
    <cfRule type="containsText" dxfId="3" priority="2" operator="containsText" text="Passed">
      <formula>NOT(ISERROR(SEARCH("Passed",D8)))</formula>
    </cfRule>
    <cfRule type="containsText" dxfId="2" priority="3" operator="containsText" text="Failed CTL">
      <formula>NOT(ISERROR(SEARCH("Failed CTL",D8)))</formula>
    </cfRule>
  </conditionalFormatting>
  <conditionalFormatting sqref="D13">
    <cfRule type="containsText" dxfId="1" priority="1" operator="containsText" text="Correction Factor Applies">
      <formula>NOT(ISERROR(SEARCH("Correction Factor Applies",D13)))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FFC8F-80C4-4F15-89E1-784A63166449}">
  <dimension ref="A1:B9"/>
  <sheetViews>
    <sheetView zoomScale="150" zoomScaleNormal="150" workbookViewId="0">
      <selection activeCell="E28" sqref="E28"/>
    </sheetView>
  </sheetViews>
  <sheetFormatPr defaultRowHeight="15" x14ac:dyDescent="0.25"/>
  <cols>
    <col min="1" max="1" width="23.5703125" customWidth="1"/>
  </cols>
  <sheetData>
    <row r="1" spans="1:2" x14ac:dyDescent="0.25">
      <c r="A1" s="14" t="s">
        <v>18</v>
      </c>
      <c r="B1" s="16">
        <v>5</v>
      </c>
    </row>
    <row r="2" spans="1:2" x14ac:dyDescent="0.25">
      <c r="A2" s="14" t="s">
        <v>22</v>
      </c>
      <c r="B2" s="16">
        <v>196</v>
      </c>
    </row>
    <row r="3" spans="1:2" x14ac:dyDescent="0.25">
      <c r="A3" s="14"/>
      <c r="B3" s="2">
        <f>ROUND(B1/B2,4)</f>
        <v>2.5499999999999998E-2</v>
      </c>
    </row>
    <row r="4" spans="1:2" x14ac:dyDescent="0.25">
      <c r="A4" s="14" t="s">
        <v>24</v>
      </c>
      <c r="B4" s="16">
        <v>0.82</v>
      </c>
    </row>
    <row r="5" spans="1:2" x14ac:dyDescent="0.25">
      <c r="A5" s="14" t="s">
        <v>44</v>
      </c>
      <c r="B5" s="17">
        <f>ROUND(SQRT(B3*(1-B3)/B2),4)</f>
        <v>1.1299999999999999E-2</v>
      </c>
    </row>
    <row r="6" spans="1:2" x14ac:dyDescent="0.25">
      <c r="A6" s="14" t="s">
        <v>45</v>
      </c>
      <c r="B6" s="17">
        <f>ROUND(ABS(_xlfn.NORM.INV((1-B4)/2,0,1)),2)</f>
        <v>1.34</v>
      </c>
    </row>
    <row r="7" spans="1:2" x14ac:dyDescent="0.25">
      <c r="A7" s="14" t="s">
        <v>34</v>
      </c>
      <c r="B7" s="17">
        <f>B6*B5</f>
        <v>1.5141999999999999E-2</v>
      </c>
    </row>
    <row r="8" spans="1:2" x14ac:dyDescent="0.25">
      <c r="A8" s="14" t="s">
        <v>29</v>
      </c>
      <c r="B8" s="17">
        <f>B3-B7</f>
        <v>1.0357999999999999E-2</v>
      </c>
    </row>
    <row r="9" spans="1:2" x14ac:dyDescent="0.25">
      <c r="A9" s="14" t="s">
        <v>46</v>
      </c>
      <c r="B9" s="17">
        <f>B3+B7</f>
        <v>4.0641999999999998E-2</v>
      </c>
    </row>
  </sheetData>
  <sheetProtection algorithmName="SHA-512" hashValue="eWu4my4e0A6ao4h+sX697pykO0RW6ZxNIv2nwPcdEgae/BDmaOqr/ZCXCdXI4fa94pED7YYnk5eUnGJyz81oGg==" saltValue="PIfgkn7QNltCbWWvGtbatA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B12CC-D09D-4A35-81C9-45EE67895D49}">
  <dimension ref="A1:C5"/>
  <sheetViews>
    <sheetView zoomScale="160" zoomScaleNormal="160" workbookViewId="0">
      <selection activeCell="D22" sqref="D22"/>
    </sheetView>
  </sheetViews>
  <sheetFormatPr defaultRowHeight="15" x14ac:dyDescent="0.25"/>
  <cols>
    <col min="1" max="1" width="18.85546875" customWidth="1"/>
  </cols>
  <sheetData>
    <row r="1" spans="1:3" x14ac:dyDescent="0.25">
      <c r="A1" s="2" t="s">
        <v>24</v>
      </c>
      <c r="B1" s="1">
        <v>0.94</v>
      </c>
      <c r="C1" s="14"/>
    </row>
    <row r="2" spans="1:3" x14ac:dyDescent="0.25">
      <c r="A2" s="2" t="s">
        <v>47</v>
      </c>
      <c r="B2" s="1">
        <v>5</v>
      </c>
      <c r="C2" s="14"/>
    </row>
    <row r="3" spans="1:3" x14ac:dyDescent="0.25">
      <c r="A3" s="2" t="s">
        <v>48</v>
      </c>
      <c r="B3" s="2">
        <f>ROUND(ABS(_xlfn.NORM.INV((1-B1)/2, 0, 1)),2)</f>
        <v>1.88</v>
      </c>
      <c r="C3" s="14"/>
    </row>
    <row r="4" spans="1:3" x14ac:dyDescent="0.25">
      <c r="A4" s="2" t="s">
        <v>49</v>
      </c>
      <c r="B4" s="1">
        <v>0.15</v>
      </c>
      <c r="C4" s="14"/>
    </row>
    <row r="5" spans="1:3" x14ac:dyDescent="0.25">
      <c r="A5" s="2" t="s">
        <v>22</v>
      </c>
      <c r="B5" s="2">
        <f>(B3*B2/B4)^2</f>
        <v>3927.1111111111099</v>
      </c>
      <c r="C5" s="2">
        <f>ROUNDUP(B5,0)</f>
        <v>3928</v>
      </c>
    </row>
  </sheetData>
  <sheetProtection algorithmName="SHA-512" hashValue="UT2phpbQHj5Hkc90S0wtMZVD3kD1eBGouOaHxklvCRp8CGKXpoDoxSPckmGgwQcT1H3htjQFDFpqwp2ld5MSTQ==" saltValue="d6hK9ErpG29KyY3Lv6DZI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CB94-E7C9-4781-97EA-3A0AA1C6FB69}">
  <dimension ref="A1:G301"/>
  <sheetViews>
    <sheetView zoomScale="110" zoomScaleNormal="110" workbookViewId="0">
      <selection activeCell="C8" sqref="C8"/>
    </sheetView>
  </sheetViews>
  <sheetFormatPr defaultRowHeight="15" x14ac:dyDescent="0.25"/>
  <cols>
    <col min="3" max="3" width="31.42578125" customWidth="1"/>
    <col min="6" max="6" width="29.42578125" customWidth="1"/>
  </cols>
  <sheetData>
    <row r="1" spans="1:7" x14ac:dyDescent="0.25">
      <c r="A1" s="18" t="s">
        <v>50</v>
      </c>
      <c r="C1" s="2" t="s">
        <v>15</v>
      </c>
      <c r="D1" s="3">
        <f>AVERAGE(A2:A301)</f>
        <v>56.3</v>
      </c>
      <c r="F1" s="2" t="s">
        <v>20</v>
      </c>
      <c r="G1" s="1">
        <v>0.76</v>
      </c>
    </row>
    <row r="2" spans="1:7" x14ac:dyDescent="0.25">
      <c r="A2" s="1">
        <v>57</v>
      </c>
      <c r="C2" s="2" t="s">
        <v>17</v>
      </c>
      <c r="D2" s="3">
        <f>_xlfn.STDEV.S(A2:A301)</f>
        <v>10.90075825859123</v>
      </c>
      <c r="F2" s="2" t="s">
        <v>21</v>
      </c>
      <c r="G2" s="2">
        <f>_xlfn.NORM.INV(G1,D1, D16)</f>
        <v>57.388836030874273</v>
      </c>
    </row>
    <row r="3" spans="1:7" x14ac:dyDescent="0.25">
      <c r="A3" s="1">
        <v>55</v>
      </c>
      <c r="C3" s="2" t="s">
        <v>18</v>
      </c>
      <c r="D3" s="1">
        <v>59</v>
      </c>
    </row>
    <row r="4" spans="1:7" x14ac:dyDescent="0.25">
      <c r="A4" s="1">
        <v>71</v>
      </c>
      <c r="C4" s="2" t="s">
        <v>19</v>
      </c>
      <c r="D4" s="11">
        <f>(D3-D1)/D2</f>
        <v>0.24768919151766786</v>
      </c>
    </row>
    <row r="5" spans="1:7" x14ac:dyDescent="0.25">
      <c r="A5" s="1">
        <v>73</v>
      </c>
      <c r="C5" s="2" t="s">
        <v>0</v>
      </c>
      <c r="D5" s="1">
        <v>7</v>
      </c>
    </row>
    <row r="6" spans="1:7" x14ac:dyDescent="0.25">
      <c r="A6" s="1">
        <v>62</v>
      </c>
      <c r="C6" s="2" t="s">
        <v>2</v>
      </c>
      <c r="D6" s="1">
        <v>83.1</v>
      </c>
    </row>
    <row r="7" spans="1:7" x14ac:dyDescent="0.25">
      <c r="A7" s="1">
        <v>47</v>
      </c>
      <c r="C7" s="2" t="s">
        <v>22</v>
      </c>
      <c r="D7" s="3">
        <v>50</v>
      </c>
    </row>
    <row r="8" spans="1:7" x14ac:dyDescent="0.25">
      <c r="A8" s="1">
        <v>48</v>
      </c>
      <c r="C8" s="12"/>
      <c r="D8" s="5">
        <f>D2/SQRT(D7)</f>
        <v>1.5416000169450239</v>
      </c>
    </row>
    <row r="9" spans="1:7" x14ac:dyDescent="0.25">
      <c r="A9" s="1">
        <v>50</v>
      </c>
      <c r="C9" s="2"/>
      <c r="D9" s="5">
        <f>1-_xlfn.NORM.DIST(D5,D1,D8, TRUE)</f>
        <v>1</v>
      </c>
    </row>
    <row r="10" spans="1:7" x14ac:dyDescent="0.25">
      <c r="A10" s="1">
        <v>66</v>
      </c>
      <c r="C10" s="2"/>
      <c r="D10" s="5">
        <f>_xlfn.NORM.DIST(D5,D1,D8, TRUE)</f>
        <v>1.0423615924146168E-224</v>
      </c>
    </row>
    <row r="11" spans="1:7" x14ac:dyDescent="0.25">
      <c r="A11" s="1">
        <v>47</v>
      </c>
      <c r="C11" s="2"/>
      <c r="D11" s="5">
        <f>_xlfn.NORM.DIST(D6,D1,D8,TRUE)-_xlfn.NORM.DIST(D5,D1,D8, TRUE)</f>
        <v>1</v>
      </c>
    </row>
    <row r="12" spans="1:7" x14ac:dyDescent="0.25">
      <c r="A12" s="1">
        <v>46</v>
      </c>
      <c r="C12" s="2" t="s">
        <v>23</v>
      </c>
      <c r="D12" s="1">
        <v>0</v>
      </c>
    </row>
    <row r="13" spans="1:7" x14ac:dyDescent="0.25">
      <c r="A13" s="1">
        <v>43</v>
      </c>
      <c r="C13" s="2" t="s">
        <v>24</v>
      </c>
      <c r="D13" s="1">
        <v>0.8</v>
      </c>
    </row>
    <row r="14" spans="1:7" x14ac:dyDescent="0.25">
      <c r="A14" s="1">
        <v>56</v>
      </c>
      <c r="C14" s="2" t="s">
        <v>25</v>
      </c>
      <c r="D14" s="13" t="s">
        <v>26</v>
      </c>
    </row>
    <row r="15" spans="1:7" x14ac:dyDescent="0.25">
      <c r="A15" s="1">
        <v>59</v>
      </c>
      <c r="C15" s="2" t="s">
        <v>27</v>
      </c>
      <c r="D15" s="2">
        <f>IF(D12&gt; 0, ROUND(SQRT((D12-D7)/(D12-1)), 4), 1)</f>
        <v>1</v>
      </c>
      <c r="F15" s="14" t="str">
        <f>IF(D12&gt;0, IF( D7/D12&gt;0.05, "Correction Factor Applies", ""), "")</f>
        <v/>
      </c>
    </row>
    <row r="16" spans="1:7" x14ac:dyDescent="0.25">
      <c r="A16" s="1">
        <v>64</v>
      </c>
      <c r="C16" s="2"/>
      <c r="D16" s="2">
        <f>ROUND(D15*D8,4)</f>
        <v>1.5416000000000001</v>
      </c>
      <c r="F16" s="2" t="str">
        <f>(100*D13)&amp;"% Confidence Interval"</f>
        <v>80% Confidence Interval</v>
      </c>
    </row>
    <row r="17" spans="1:7" x14ac:dyDescent="0.25">
      <c r="A17" s="1">
        <v>57</v>
      </c>
      <c r="C17" s="2"/>
      <c r="D17" s="2" t="str">
        <f>IF(D12&gt;0, IF(D7/D12&gt;0.05, ROUND(1-_xlfn.NORM.DIST(D2,#REF!, D16, TRUE), 4), ""), "")</f>
        <v/>
      </c>
      <c r="F17" s="2" t="s">
        <v>28</v>
      </c>
      <c r="G17" s="2"/>
    </row>
    <row r="18" spans="1:7" x14ac:dyDescent="0.25">
      <c r="A18" s="1">
        <v>60</v>
      </c>
      <c r="C18" s="2"/>
      <c r="D18" s="2" t="str">
        <f>IF(D12&gt;0, IF(D7/D12&gt;0.05, ROUND(_xlfn.NORM.DIST(D2,#REF!,D15, TRUE), 4), ""), "")</f>
        <v/>
      </c>
      <c r="F18" s="2" t="s">
        <v>29</v>
      </c>
      <c r="G18" s="2">
        <f>D1-D23</f>
        <v>54.2973</v>
      </c>
    </row>
    <row r="19" spans="1:7" x14ac:dyDescent="0.25">
      <c r="A19" s="1">
        <v>73</v>
      </c>
      <c r="C19" s="2"/>
      <c r="D19" s="2" t="str">
        <f>IF(D12&gt;0,IF(D7/D12&gt;0.05, ROUND(_xlfn.NORM.DIST(D3,#REF!, D16, TRUE) - _xlfn.NORM.DIST(D2,#REF!, D16, TRUE), 4), ""), "")</f>
        <v/>
      </c>
      <c r="F19" s="2" t="s">
        <v>30</v>
      </c>
      <c r="G19" s="2">
        <f>D1+D23</f>
        <v>58.302699999999994</v>
      </c>
    </row>
    <row r="20" spans="1:7" x14ac:dyDescent="0.25">
      <c r="A20" s="1">
        <v>72</v>
      </c>
      <c r="C20" s="2" t="s">
        <v>31</v>
      </c>
      <c r="D20" s="2" t="str">
        <f>IF(D14="Yes", ROUND(IF(D14="Yes",ABS( _xlfn.NORM.INV((1-D13)/2, 0, 1)), ""), 3), "")</f>
        <v/>
      </c>
    </row>
    <row r="21" spans="1:7" x14ac:dyDescent="0.25">
      <c r="A21" s="1">
        <v>44</v>
      </c>
      <c r="C21" s="2" t="s">
        <v>32</v>
      </c>
      <c r="D21" s="2">
        <f>IF(D14="Yes", "", D7-1)</f>
        <v>49</v>
      </c>
    </row>
    <row r="22" spans="1:7" x14ac:dyDescent="0.25">
      <c r="A22" s="1">
        <v>74</v>
      </c>
      <c r="C22" s="2" t="s">
        <v>33</v>
      </c>
      <c r="D22" s="2">
        <f>IF(D14="Yes", "", ROUND(ABS(_xlfn.T.INV((1-D13)/2, D21)),4))</f>
        <v>1.2990999999999999</v>
      </c>
    </row>
    <row r="23" spans="1:7" x14ac:dyDescent="0.25">
      <c r="A23" s="1">
        <v>59</v>
      </c>
      <c r="C23" s="2" t="s">
        <v>34</v>
      </c>
      <c r="D23" s="2">
        <f>ROUND(IF(D14="Yes", D20*D16, D22*D16),4)</f>
        <v>2.0026999999999999</v>
      </c>
    </row>
    <row r="24" spans="1:7" x14ac:dyDescent="0.25">
      <c r="A24" s="1">
        <v>47</v>
      </c>
    </row>
    <row r="25" spans="1:7" x14ac:dyDescent="0.25">
      <c r="A25" s="1">
        <v>36</v>
      </c>
    </row>
    <row r="26" spans="1:7" x14ac:dyDescent="0.25">
      <c r="A26" s="1">
        <v>37</v>
      </c>
    </row>
    <row r="27" spans="1:7" x14ac:dyDescent="0.25">
      <c r="A27" s="1">
        <v>69</v>
      </c>
    </row>
    <row r="28" spans="1:7" x14ac:dyDescent="0.25">
      <c r="A28" s="1">
        <v>46</v>
      </c>
    </row>
    <row r="29" spans="1:7" x14ac:dyDescent="0.25">
      <c r="A29" s="1">
        <v>61</v>
      </c>
    </row>
    <row r="30" spans="1:7" x14ac:dyDescent="0.25">
      <c r="A30" s="1">
        <v>62</v>
      </c>
    </row>
    <row r="31" spans="1:7" x14ac:dyDescent="0.25">
      <c r="A31" s="1">
        <v>44</v>
      </c>
    </row>
    <row r="32" spans="1:7" x14ac:dyDescent="0.25">
      <c r="A32" s="1">
        <v>68</v>
      </c>
    </row>
    <row r="33" spans="1:1" x14ac:dyDescent="0.25">
      <c r="A33" s="1">
        <v>50</v>
      </c>
    </row>
    <row r="34" spans="1:1" x14ac:dyDescent="0.25">
      <c r="A34" s="1">
        <v>66</v>
      </c>
    </row>
    <row r="35" spans="1:1" x14ac:dyDescent="0.25">
      <c r="A35" s="1">
        <v>66</v>
      </c>
    </row>
    <row r="36" spans="1:1" x14ac:dyDescent="0.25">
      <c r="A36" s="1">
        <v>63</v>
      </c>
    </row>
    <row r="37" spans="1:1" x14ac:dyDescent="0.25">
      <c r="A37" s="1">
        <v>65</v>
      </c>
    </row>
    <row r="38" spans="1:1" x14ac:dyDescent="0.25">
      <c r="A38" s="1">
        <v>55</v>
      </c>
    </row>
    <row r="39" spans="1:1" x14ac:dyDescent="0.25">
      <c r="A39" s="1">
        <v>39</v>
      </c>
    </row>
    <row r="40" spans="1:1" x14ac:dyDescent="0.25">
      <c r="A40" s="1">
        <v>48</v>
      </c>
    </row>
    <row r="41" spans="1:1" x14ac:dyDescent="0.25">
      <c r="A41" s="1">
        <v>54</v>
      </c>
    </row>
    <row r="42" spans="1:1" x14ac:dyDescent="0.25">
      <c r="A42" s="1">
        <v>47</v>
      </c>
    </row>
    <row r="43" spans="1:1" x14ac:dyDescent="0.25">
      <c r="A43" s="1">
        <v>67</v>
      </c>
    </row>
    <row r="44" spans="1:1" x14ac:dyDescent="0.25">
      <c r="A44" s="1">
        <v>39</v>
      </c>
    </row>
    <row r="45" spans="1:1" x14ac:dyDescent="0.25">
      <c r="A45" s="1">
        <v>67</v>
      </c>
    </row>
    <row r="46" spans="1:1" x14ac:dyDescent="0.25">
      <c r="A46" s="1">
        <v>45</v>
      </c>
    </row>
    <row r="47" spans="1:1" x14ac:dyDescent="0.25">
      <c r="A47" s="1">
        <v>59</v>
      </c>
    </row>
    <row r="48" spans="1:1" x14ac:dyDescent="0.25">
      <c r="A48" s="1">
        <v>40</v>
      </c>
    </row>
    <row r="49" spans="1:1" x14ac:dyDescent="0.25">
      <c r="A49" s="1">
        <v>74</v>
      </c>
    </row>
    <row r="50" spans="1:1" x14ac:dyDescent="0.25">
      <c r="A50" s="1">
        <v>57</v>
      </c>
    </row>
    <row r="51" spans="1:1" x14ac:dyDescent="0.25">
      <c r="A51" s="1">
        <v>61</v>
      </c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</sheetData>
  <sheetProtection algorithmName="SHA-512" hashValue="WKpgr6gDEtCEGeV8JpM11QZq4Kfhz//BAy+IekdK3Uz1u9+XOa+1prmh+vEi3lhOWM1/qg4yYzltCN+vReDzcg==" saltValue="FhD1D+zMvTN8UX0ao9aQ8g==" spinCount="100000" sheet="1" objects="1" scenarios="1"/>
  <conditionalFormatting sqref="F15">
    <cfRule type="containsText" dxfId="0" priority="1" operator="containsText" text="Correction Factor Applies">
      <formula>NOT(ISERROR(SEARCH("Correction Factor Applies",F15)))</formula>
    </cfRule>
  </conditionalFormatting>
  <dataValidations disablePrompts="1" count="1">
    <dataValidation type="list" allowBlank="1" showInputMessage="1" showErrorMessage="1" sqref="D14" xr:uid="{3E2BBE93-D227-44C7-A3EE-E4BA72C16CF7}">
      <formula1>$R$14:$R$15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B7F3C-206E-48C1-A2AC-6B4E04B6AC39}">
  <dimension ref="A1:C5"/>
  <sheetViews>
    <sheetView zoomScale="150" zoomScaleNormal="150" workbookViewId="0">
      <selection activeCell="B10" sqref="B10"/>
    </sheetView>
  </sheetViews>
  <sheetFormatPr defaultRowHeight="15" x14ac:dyDescent="0.25"/>
  <cols>
    <col min="1" max="1" width="19.5703125" customWidth="1"/>
  </cols>
  <sheetData>
    <row r="1" spans="1:3" x14ac:dyDescent="0.25">
      <c r="A1" s="2" t="s">
        <v>51</v>
      </c>
      <c r="B1" s="1">
        <v>0.96</v>
      </c>
      <c r="C1" s="14"/>
    </row>
    <row r="2" spans="1:3" x14ac:dyDescent="0.25">
      <c r="A2" s="2" t="s">
        <v>49</v>
      </c>
      <c r="B2" s="1">
        <v>0.01</v>
      </c>
      <c r="C2" s="14"/>
    </row>
    <row r="3" spans="1:3" x14ac:dyDescent="0.25">
      <c r="A3" s="2" t="s">
        <v>52</v>
      </c>
      <c r="B3" s="1">
        <v>0.5</v>
      </c>
      <c r="C3" s="14"/>
    </row>
    <row r="4" spans="1:3" x14ac:dyDescent="0.25">
      <c r="A4" s="2" t="s">
        <v>48</v>
      </c>
      <c r="B4" s="2">
        <f>ROUND(ABS(_xlfn.NORM.INV((1-B1)/2, 0, 1)), 2)</f>
        <v>2.0499999999999998</v>
      </c>
      <c r="C4" s="2"/>
    </row>
    <row r="5" spans="1:3" x14ac:dyDescent="0.25">
      <c r="A5" s="2" t="s">
        <v>22</v>
      </c>
      <c r="B5" s="2">
        <f>(B4/B2)^2 *B3*(1-B3)</f>
        <v>10506.249999999996</v>
      </c>
      <c r="C5" s="2">
        <f>ROUNDUP(B5,0)</f>
        <v>10507</v>
      </c>
    </row>
  </sheetData>
  <sheetProtection algorithmName="SHA-512" hashValue="gnJZ9P+YO/LjKleleKTEz0e5ZcwQC9yh9gb5NyoFOODGEFpMsMDNeKFMZDTyOzgilkZW01L49qNivJjKYqU0HQ==" saltValue="Qv2+4FMqth4xSViemlWD5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AFA80-8E62-4F64-B09A-9CDAF181E8F7}">
  <dimension ref="A1:F301"/>
  <sheetViews>
    <sheetView zoomScale="140" zoomScaleNormal="140" workbookViewId="0">
      <selection activeCell="D13" sqref="D13"/>
    </sheetView>
  </sheetViews>
  <sheetFormatPr defaultRowHeight="15" x14ac:dyDescent="0.25"/>
  <cols>
    <col min="1" max="1" width="19.7109375" customWidth="1"/>
    <col min="2" max="2" width="16.140625" customWidth="1"/>
    <col min="4" max="4" width="18.85546875" customWidth="1"/>
  </cols>
  <sheetData>
    <row r="1" spans="1:6" x14ac:dyDescent="0.25">
      <c r="A1" s="8" t="s">
        <v>53</v>
      </c>
      <c r="B1" s="8" t="s">
        <v>54</v>
      </c>
    </row>
    <row r="2" spans="1:6" x14ac:dyDescent="0.25">
      <c r="A2" s="1">
        <v>22</v>
      </c>
      <c r="B2" s="1">
        <v>13</v>
      </c>
    </row>
    <row r="3" spans="1:6" x14ac:dyDescent="0.25">
      <c r="A3" s="1">
        <v>47</v>
      </c>
      <c r="B3" s="1">
        <v>29</v>
      </c>
      <c r="D3" s="2" t="s">
        <v>55</v>
      </c>
      <c r="E3" s="2">
        <f>AVERAGE(A2:A301)</f>
        <v>30.16</v>
      </c>
      <c r="F3" s="19" t="s">
        <v>56</v>
      </c>
    </row>
    <row r="4" spans="1:6" x14ac:dyDescent="0.25">
      <c r="A4" s="1">
        <v>23</v>
      </c>
      <c r="B4" s="1">
        <v>42</v>
      </c>
      <c r="D4" s="2" t="s">
        <v>57</v>
      </c>
      <c r="E4" s="2">
        <f>AVERAGE(B2:B2:B144)</f>
        <v>29</v>
      </c>
      <c r="F4" s="19" t="s">
        <v>58</v>
      </c>
    </row>
    <row r="5" spans="1:6" x14ac:dyDescent="0.25">
      <c r="A5" s="1">
        <v>11</v>
      </c>
      <c r="B5" s="1">
        <v>22</v>
      </c>
      <c r="D5" s="2" t="s">
        <v>59</v>
      </c>
      <c r="E5" s="2">
        <f>E4-E3</f>
        <v>-1.1600000000000001</v>
      </c>
      <c r="F5" s="19" t="s">
        <v>60</v>
      </c>
    </row>
    <row r="6" spans="1:6" x14ac:dyDescent="0.25">
      <c r="A6" s="1">
        <v>25</v>
      </c>
      <c r="B6" s="1">
        <v>10</v>
      </c>
    </row>
    <row r="7" spans="1:6" x14ac:dyDescent="0.25">
      <c r="A7" s="1">
        <v>32</v>
      </c>
      <c r="B7" s="1">
        <v>42</v>
      </c>
    </row>
    <row r="8" spans="1:6" x14ac:dyDescent="0.25">
      <c r="A8" s="1">
        <v>30</v>
      </c>
      <c r="B8" s="1">
        <v>29</v>
      </c>
    </row>
    <row r="9" spans="1:6" x14ac:dyDescent="0.25">
      <c r="A9" s="1">
        <v>28</v>
      </c>
      <c r="B9" s="1">
        <v>10</v>
      </c>
    </row>
    <row r="10" spans="1:6" x14ac:dyDescent="0.25">
      <c r="A10" s="1">
        <v>11</v>
      </c>
      <c r="B10" s="1">
        <v>42</v>
      </c>
    </row>
    <row r="11" spans="1:6" x14ac:dyDescent="0.25">
      <c r="A11" s="1">
        <v>56</v>
      </c>
      <c r="B11" s="1">
        <v>51</v>
      </c>
    </row>
    <row r="12" spans="1:6" x14ac:dyDescent="0.25">
      <c r="A12" s="1">
        <v>33</v>
      </c>
      <c r="B12" s="1"/>
    </row>
    <row r="13" spans="1:6" x14ac:dyDescent="0.25">
      <c r="A13" s="1">
        <v>42</v>
      </c>
      <c r="B13" s="1"/>
    </row>
    <row r="14" spans="1:6" x14ac:dyDescent="0.25">
      <c r="A14" s="1">
        <v>42</v>
      </c>
      <c r="B14" s="1"/>
    </row>
    <row r="15" spans="1:6" x14ac:dyDescent="0.25">
      <c r="A15" s="1">
        <v>33</v>
      </c>
      <c r="B15" s="1"/>
    </row>
    <row r="16" spans="1:6" x14ac:dyDescent="0.25">
      <c r="A16" s="1">
        <v>32</v>
      </c>
      <c r="B16" s="1"/>
    </row>
    <row r="17" spans="1:2" x14ac:dyDescent="0.25">
      <c r="A17" s="1">
        <v>16</v>
      </c>
      <c r="B17" s="1"/>
    </row>
    <row r="18" spans="1:2" x14ac:dyDescent="0.25">
      <c r="A18" s="1">
        <v>55</v>
      </c>
      <c r="B18" s="1"/>
    </row>
    <row r="19" spans="1:2" x14ac:dyDescent="0.25">
      <c r="A19" s="1">
        <v>54</v>
      </c>
      <c r="B19" s="1"/>
    </row>
    <row r="20" spans="1:2" x14ac:dyDescent="0.25">
      <c r="A20" s="1">
        <v>10</v>
      </c>
      <c r="B20" s="1"/>
    </row>
    <row r="21" spans="1:2" x14ac:dyDescent="0.25">
      <c r="A21" s="1">
        <v>51</v>
      </c>
      <c r="B21" s="1"/>
    </row>
    <row r="22" spans="1:2" x14ac:dyDescent="0.25">
      <c r="A22" s="1">
        <v>14</v>
      </c>
      <c r="B22" s="1"/>
    </row>
    <row r="23" spans="1:2" x14ac:dyDescent="0.25">
      <c r="A23" s="1">
        <v>17</v>
      </c>
      <c r="B23" s="1"/>
    </row>
    <row r="24" spans="1:2" x14ac:dyDescent="0.25">
      <c r="A24" s="1">
        <v>29</v>
      </c>
      <c r="B24" s="1"/>
    </row>
    <row r="25" spans="1:2" x14ac:dyDescent="0.25">
      <c r="A25" s="1">
        <v>28</v>
      </c>
      <c r="B25" s="1"/>
    </row>
    <row r="26" spans="1:2" x14ac:dyDescent="0.25">
      <c r="A26" s="1">
        <v>13</v>
      </c>
      <c r="B26" s="1"/>
    </row>
    <row r="27" spans="1:2" x14ac:dyDescent="0.25">
      <c r="A27" s="1"/>
      <c r="B27" s="1"/>
    </row>
    <row r="28" spans="1:2" x14ac:dyDescent="0.25">
      <c r="A28" s="1"/>
      <c r="B28" s="1"/>
    </row>
    <row r="29" spans="1:2" x14ac:dyDescent="0.25">
      <c r="A29" s="1"/>
      <c r="B29" s="1"/>
    </row>
    <row r="30" spans="1:2" x14ac:dyDescent="0.25">
      <c r="A30" s="1"/>
      <c r="B30" s="1"/>
    </row>
    <row r="31" spans="1:2" x14ac:dyDescent="0.25">
      <c r="A31" s="1"/>
      <c r="B31" s="1"/>
    </row>
    <row r="32" spans="1:2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  <row r="36" spans="1:2" x14ac:dyDescent="0.25">
      <c r="A36" s="1"/>
      <c r="B36" s="1"/>
    </row>
    <row r="37" spans="1:2" x14ac:dyDescent="0.25">
      <c r="A37" s="1"/>
      <c r="B37" s="1"/>
    </row>
    <row r="38" spans="1:2" x14ac:dyDescent="0.25">
      <c r="A38" s="1"/>
      <c r="B38" s="1"/>
    </row>
    <row r="39" spans="1:2" x14ac:dyDescent="0.25">
      <c r="A39" s="1"/>
      <c r="B39" s="1"/>
    </row>
    <row r="40" spans="1:2" x14ac:dyDescent="0.25">
      <c r="A40" s="1"/>
      <c r="B40" s="1"/>
    </row>
    <row r="41" spans="1:2" x14ac:dyDescent="0.25">
      <c r="A41" s="1"/>
      <c r="B41" s="1"/>
    </row>
    <row r="42" spans="1:2" x14ac:dyDescent="0.25">
      <c r="A42" s="1"/>
      <c r="B42" s="1"/>
    </row>
    <row r="43" spans="1:2" x14ac:dyDescent="0.25">
      <c r="A43" s="1"/>
      <c r="B43" s="1"/>
    </row>
    <row r="44" spans="1:2" x14ac:dyDescent="0.25">
      <c r="A44" s="1"/>
      <c r="B44" s="1"/>
    </row>
    <row r="45" spans="1:2" x14ac:dyDescent="0.25">
      <c r="A45" s="1"/>
      <c r="B45" s="1"/>
    </row>
    <row r="46" spans="1:2" x14ac:dyDescent="0.25">
      <c r="A46" s="1"/>
      <c r="B46" s="1"/>
    </row>
    <row r="47" spans="1:2" x14ac:dyDescent="0.25">
      <c r="A47" s="1"/>
      <c r="B47" s="1"/>
    </row>
    <row r="48" spans="1:2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</sheetData>
  <sheetProtection algorithmName="SHA-512" hashValue="bw9evcochrTn730EpfqdlFgVRxzJ02CoZ5hwmGjNVSnnXrkP3IkxPjIHtRG1I+M2fFL4HYjKqeJ9+4qwooM1vQ==" saltValue="3W1MYrKH8NxDQy/f1SUbR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EE5EBF94BC84BAEFE6371E943C736" ma:contentTypeVersion="32" ma:contentTypeDescription="Create a new document." ma:contentTypeScope="" ma:versionID="5877bf390a14558d0c97f32a686b5bc5">
  <xsd:schema xmlns:xsd="http://www.w3.org/2001/XMLSchema" xmlns:xs="http://www.w3.org/2001/XMLSchema" xmlns:p="http://schemas.microsoft.com/office/2006/metadata/properties" xmlns:ns1="http://schemas.microsoft.com/sharepoint/v3" xmlns:ns3="5da8c30d-7943-444a-87d8-aa868a6d66fa" xmlns:ns4="50e53f1b-22a8-442f-ab89-d1fc3120ffc8" targetNamespace="http://schemas.microsoft.com/office/2006/metadata/properties" ma:root="true" ma:fieldsID="0b68668370a7e79cb3ef42c1a5ca0f74" ns1:_="" ns3:_="" ns4:_="">
    <xsd:import namespace="http://schemas.microsoft.com/sharepoint/v3"/>
    <xsd:import namespace="5da8c30d-7943-444a-87d8-aa868a6d66fa"/>
    <xsd:import namespace="50e53f1b-22a8-442f-ab89-d1fc3120ff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8c30d-7943-444a-87d8-aa868a6d6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2" nillable="true" ma:displayName="Math Settings" ma:internalName="Math_Settings">
      <xsd:simpleType>
        <xsd:restriction base="dms:Text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9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4" nillable="true" ma:displayName="Is Collaboration Space Locked" ma:internalName="Is_Collaboration_Space_Locked">
      <xsd:simpleType>
        <xsd:restriction base="dms:Boolean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Teams_Channel_Section_Location" ma:index="36" nillable="true" ma:displayName="Teams Channel Section Location" ma:internalName="Teams_Channel_Section_Location">
      <xsd:simpleType>
        <xsd:restriction base="dms:Text"/>
      </xsd:simpleType>
    </xsd:element>
    <xsd:element name="MediaLengthInSeconds" ma:index="3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e53f1b-22a8-442f-ab89-d1fc3120ff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_Channel_Section_Location xmlns="5da8c30d-7943-444a-87d8-aa868a6d66fa" xsi:nil="true"/>
    <_ip_UnifiedCompliancePolicyUIAction xmlns="http://schemas.microsoft.com/sharepoint/v3" xsi:nil="true"/>
    <Templates xmlns="5da8c30d-7943-444a-87d8-aa868a6d66fa" xsi:nil="true"/>
    <NotebookType xmlns="5da8c30d-7943-444a-87d8-aa868a6d66fa" xsi:nil="true"/>
    <Student_Groups xmlns="5da8c30d-7943-444a-87d8-aa868a6d66fa">
      <UserInfo>
        <DisplayName/>
        <AccountId xsi:nil="true"/>
        <AccountType/>
      </UserInfo>
    </Student_Groups>
    <AppVersion xmlns="5da8c30d-7943-444a-87d8-aa868a6d66fa" xsi:nil="true"/>
    <TeamsChannelId xmlns="5da8c30d-7943-444a-87d8-aa868a6d66fa" xsi:nil="true"/>
    <Math_Settings xmlns="5da8c30d-7943-444a-87d8-aa868a6d66fa" xsi:nil="true"/>
    <Owner xmlns="5da8c30d-7943-444a-87d8-aa868a6d66fa">
      <UserInfo>
        <DisplayName/>
        <AccountId xsi:nil="true"/>
        <AccountType/>
      </UserInfo>
    </Owner>
    <LMS_Mappings xmlns="5da8c30d-7943-444a-87d8-aa868a6d66fa" xsi:nil="true"/>
    <Invited_Students xmlns="5da8c30d-7943-444a-87d8-aa868a6d66fa" xsi:nil="true"/>
    <DefaultSectionNames xmlns="5da8c30d-7943-444a-87d8-aa868a6d66fa" xsi:nil="true"/>
    <Has_Teacher_Only_SectionGroup xmlns="5da8c30d-7943-444a-87d8-aa868a6d66fa" xsi:nil="true"/>
    <_ip_UnifiedCompliancePolicyProperties xmlns="http://schemas.microsoft.com/sharepoint/v3" xsi:nil="true"/>
    <FolderType xmlns="5da8c30d-7943-444a-87d8-aa868a6d66fa" xsi:nil="true"/>
    <Students xmlns="5da8c30d-7943-444a-87d8-aa868a6d66fa">
      <UserInfo>
        <DisplayName/>
        <AccountId xsi:nil="true"/>
        <AccountType/>
      </UserInfo>
    </Students>
    <Distribution_Groups xmlns="5da8c30d-7943-444a-87d8-aa868a6d66fa" xsi:nil="true"/>
    <Invited_Teachers xmlns="5da8c30d-7943-444a-87d8-aa868a6d66fa" xsi:nil="true"/>
    <IsNotebookLocked xmlns="5da8c30d-7943-444a-87d8-aa868a6d66fa" xsi:nil="true"/>
    <Teachers xmlns="5da8c30d-7943-444a-87d8-aa868a6d66fa">
      <UserInfo>
        <DisplayName/>
        <AccountId xsi:nil="true"/>
        <AccountType/>
      </UserInfo>
    </Teachers>
    <Is_Collaboration_Space_Locked xmlns="5da8c30d-7943-444a-87d8-aa868a6d66fa" xsi:nil="true"/>
    <Self_Registration_Enabled xmlns="5da8c30d-7943-444a-87d8-aa868a6d66fa" xsi:nil="true"/>
    <CultureName xmlns="5da8c30d-7943-444a-87d8-aa868a6d66fa" xsi:nil="true"/>
  </documentManagement>
</p:properties>
</file>

<file path=customXml/itemProps1.xml><?xml version="1.0" encoding="utf-8"?>
<ds:datastoreItem xmlns:ds="http://schemas.openxmlformats.org/officeDocument/2006/customXml" ds:itemID="{4CE950AB-BE63-45D3-A6DE-3A463DF48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da8c30d-7943-444a-87d8-aa868a6d66fa"/>
    <ds:schemaRef ds:uri="50e53f1b-22a8-442f-ab89-d1fc3120ff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770FD8-0071-4972-92FE-2586701161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3A60A8-C76F-4083-A7D4-1707E67A413C}">
  <ds:schemaRefs>
    <ds:schemaRef ds:uri="5da8c30d-7943-444a-87d8-aa868a6d66fa"/>
    <ds:schemaRef ds:uri="http://purl.org/dc/elements/1.1/"/>
    <ds:schemaRef ds:uri="http://schemas.microsoft.com/office/2006/documentManagement/types"/>
    <ds:schemaRef ds:uri="50e53f1b-22a8-442f-ab89-d1fc3120ffc8"/>
    <ds:schemaRef ds:uri="http://purl.org/dc/dcmitype/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Uniform Distribution</vt:lpstr>
      <vt:lpstr>Exponential Distribution</vt:lpstr>
      <vt:lpstr>Normal Prob Dist Mean</vt:lpstr>
      <vt:lpstr>Normal Prob Dist Proportion</vt:lpstr>
      <vt:lpstr>Confidence Interval - Prop.</vt:lpstr>
      <vt:lpstr>Sample Size - Means</vt:lpstr>
      <vt:lpstr>Normal Prob Mean - Data</vt:lpstr>
      <vt:lpstr>Sample Size - Proportion</vt:lpstr>
      <vt:lpstr>Sampling Error - Mean</vt:lpstr>
      <vt:lpstr>Sampling Error - Proportion</vt:lpstr>
      <vt:lpstr>scratch pad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Alyse Pitmann</dc:creator>
  <cp:lastModifiedBy>JoEllen Green</cp:lastModifiedBy>
  <dcterms:created xsi:type="dcterms:W3CDTF">2021-10-27T00:02:21Z</dcterms:created>
  <dcterms:modified xsi:type="dcterms:W3CDTF">2021-10-27T03:50:19Z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0x01010077AEE5EBF94BC84BAEFE6371E943C736</vt:lpwstr>
  </property>
</Properties>
</file>